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65516" windowWidth="28260" windowHeight="13700" tabRatio="493" activeTab="4"/>
  </bookViews>
  <sheets>
    <sheet name="à_lire" sheetId="1" r:id="rId1"/>
    <sheet name="saisie" sheetId="2" r:id="rId2"/>
    <sheet name="Synthèse individuelle" sheetId="3" r:id="rId3"/>
    <sheet name="Synthèse groupe ok" sheetId="4" r:id="rId4"/>
    <sheet name="diagrammes" sheetId="5" r:id="rId5"/>
    <sheet name="Export anonymé" sheetId="6" r:id="rId6"/>
  </sheets>
  <definedNames>
    <definedName name="eleves">'à_lire'!$H$3:$H$34</definedName>
    <definedName name="Excel_BuiltIn__FilterDatabase">'saisie'!$B$14:$W$49</definedName>
    <definedName name="Excel_BuiltIn__FilterDatabase_1">'saisie'!$B$14:$W$49</definedName>
    <definedName name="export">'Export anonymé'!$A$15:$W$46</definedName>
    <definedName name="_xlnm.Print_Area" localSheetId="4">'diagrammes'!$F$1:$AF$47</definedName>
    <definedName name="_xlnm.Print_Area" localSheetId="1">'saisie'!$A$1:$AF$58</definedName>
    <definedName name="_xlnm.Print_Area" localSheetId="3">'Synthèse groupe ok'!$B$2:$H$42</definedName>
    <definedName name="_xlnm.Print_Area" localSheetId="2">'Synthèse individuelle'!$B$2:$H$42</definedName>
  </definedNames>
  <calcPr fullCalcOnLoad="1"/>
</workbook>
</file>

<file path=xl/sharedStrings.xml><?xml version="1.0" encoding="utf-8"?>
<sst xmlns="http://schemas.openxmlformats.org/spreadsheetml/2006/main" count="313" uniqueCount="146">
  <si>
    <t>?</t>
  </si>
  <si>
    <t>Évaluation du niveau A1 du CECRL</t>
  </si>
  <si>
    <t>Date de l'évaluation ( mm/aaaa)</t>
  </si>
  <si>
    <t>Circonscription</t>
  </si>
  <si>
    <t>Nom de l'école</t>
  </si>
  <si>
    <t>Education prioritaire ?</t>
  </si>
  <si>
    <t>Langue évaluée</t>
  </si>
  <si>
    <t>Nom de la classe</t>
  </si>
  <si>
    <t>Recommandations</t>
  </si>
  <si>
    <r>
      <t xml:space="preserve">Ce support constitue la dernière étape du processus continu d'évaluation des acquis.
Il est souhaitable de prévoir la passation au retour des vacances de printemps et au plus tard avant la fin du mois de mai.
La saisie des données dans ce fichier permet le traitement au niveau de la classe.
En fin de saisie les données sont à transposer par un simple copier/coller dans le formulaire en ligne (voir onglet Export anonymé) qui permettra un traitement au niveau de la circonscription.
</t>
    </r>
    <r>
      <rPr>
        <sz val="10"/>
        <color indexed="10"/>
        <rFont val="Arial"/>
        <family val="2"/>
      </rPr>
      <t xml:space="preserve">Si vous ne disposez pas d'Internet dans votre classe copiez ce fichier sur une clé USB et demandez à votre directeur de bien vouloir faire cette dernière étape sur le poste de direction (30 secondes).
</t>
    </r>
  </si>
  <si>
    <t>Elève26</t>
  </si>
  <si>
    <t>Fiche de report des réponses</t>
  </si>
  <si>
    <r>
      <t xml:space="preserve">CODE A </t>
    </r>
    <r>
      <rPr>
        <sz val="9"/>
        <rFont val="Arial"/>
        <family val="2"/>
      </rPr>
      <t>: élève absent</t>
    </r>
  </si>
  <si>
    <t xml:space="preserve">ECOLE : </t>
  </si>
  <si>
    <t xml:space="preserve">CLASSE DE </t>
  </si>
  <si>
    <t>Numéros d'items</t>
  </si>
  <si>
    <t>COMPRENDRE À L'ORAL</t>
  </si>
  <si>
    <t>LIRE</t>
  </si>
  <si>
    <t>ECRIRE</t>
  </si>
  <si>
    <t>REAGIR  ET DIALOGUER</t>
  </si>
  <si>
    <t>PARLER EN CONTINU</t>
  </si>
  <si>
    <t>%
de 1</t>
  </si>
  <si>
    <r>
      <t xml:space="preserve">%
de 1 </t>
    </r>
    <r>
      <rPr>
        <b/>
        <i/>
        <u val="single"/>
        <sz val="13"/>
        <rFont val="Arial"/>
        <family val="2"/>
      </rPr>
      <t>et</t>
    </r>
    <r>
      <rPr>
        <b/>
        <i/>
        <sz val="13"/>
        <rFont val="Arial"/>
        <family val="2"/>
      </rPr>
      <t xml:space="preserve"> 2</t>
    </r>
  </si>
  <si>
    <r>
      <t xml:space="preserve">%
de 9 </t>
    </r>
    <r>
      <rPr>
        <b/>
        <i/>
        <u val="single"/>
        <sz val="13"/>
        <rFont val="Arial"/>
        <family val="2"/>
      </rPr>
      <t>et</t>
    </r>
    <r>
      <rPr>
        <b/>
        <i/>
        <sz val="13"/>
        <rFont val="Arial"/>
        <family val="2"/>
      </rPr>
      <t xml:space="preserve"> 0</t>
    </r>
  </si>
  <si>
    <t>Noms des élèves | Items →</t>
  </si>
  <si>
    <t>CO</t>
  </si>
  <si>
    <t>Lire</t>
  </si>
  <si>
    <t>Ecrire</t>
  </si>
  <si>
    <t>Réagir</t>
  </si>
  <si>
    <t>Parler</t>
  </si>
  <si>
    <t>A</t>
  </si>
  <si>
    <t>Absents</t>
  </si>
  <si>
    <t>présents</t>
  </si>
  <si>
    <t>Nb. bonnes réponses</t>
  </si>
  <si>
    <t>% code 1</t>
  </si>
  <si>
    <t>% code 2</t>
  </si>
  <si>
    <t>% code 9</t>
  </si>
  <si>
    <t>% code 0</t>
  </si>
  <si>
    <t>% code 1 et 2</t>
  </si>
  <si>
    <t>% code 0 et 9</t>
  </si>
  <si>
    <t>A1 : synthèse individuelle</t>
  </si>
  <si>
    <t>Composantes</t>
  </si>
  <si>
    <t>Consignes des exercices du fichier élève</t>
  </si>
  <si>
    <t>Items</t>
  </si>
  <si>
    <t>% de réussite</t>
  </si>
  <si>
    <t>COMPRENDRE A L'ORAL</t>
  </si>
  <si>
    <t>COMPREHENSION ORALE</t>
  </si>
  <si>
    <t>1= réussite -  2 = quelques erreurs
9 = erreurs nombreuses – 0 = Non répondu – A = absent</t>
  </si>
  <si>
    <t>Comprendre à l'oral</t>
  </si>
  <si>
    <t>Réagir et dialoguer</t>
  </si>
  <si>
    <t>Parler en continu</t>
  </si>
  <si>
    <t>Global</t>
  </si>
  <si>
    <t>Diagrammes</t>
  </si>
  <si>
    <t>A1 GLOBAL</t>
  </si>
  <si>
    <t>A1 Global</t>
  </si>
  <si>
    <t>A1</t>
  </si>
  <si>
    <t>FRANCAIS</t>
  </si>
  <si>
    <t>de 0 à 24%</t>
  </si>
  <si>
    <t>acquis fragiles</t>
  </si>
  <si>
    <t>de 25 à 49%</t>
  </si>
  <si>
    <t>acquis très solides</t>
  </si>
  <si>
    <t>de 50 à 74</t>
  </si>
  <si>
    <t>de 75 à 100</t>
  </si>
  <si>
    <t>Nombre d'élèves</t>
  </si>
  <si>
    <t>Pourcentage d'élèves</t>
  </si>
  <si>
    <t>Compréhension orale</t>
  </si>
  <si>
    <t>REAGIR ET DIALOGUER</t>
  </si>
  <si>
    <t>Cet onglet vous permet d'envoyer les résultats anonymés pour le traitement au niveau de la circonscription et du département.</t>
  </si>
  <si>
    <r>
      <t>étape 1</t>
    </r>
    <r>
      <rPr>
        <sz val="10"/>
        <rFont val="Arial"/>
        <family val="2"/>
      </rPr>
      <t xml:space="preserve"> : 
</t>
    </r>
    <r>
      <rPr>
        <b/>
        <sz val="10"/>
        <rFont val="Arial"/>
        <family val="2"/>
      </rPr>
      <t>CONNAITRE</t>
    </r>
    <r>
      <rPr>
        <sz val="10"/>
        <rFont val="Arial"/>
        <family val="2"/>
      </rPr>
      <t xml:space="preserve"> le numéro </t>
    </r>
    <r>
      <rPr>
        <b/>
        <sz val="10"/>
        <rFont val="Arial"/>
        <family val="2"/>
      </rPr>
      <t>RNE*</t>
    </r>
    <r>
      <rPr>
        <sz val="10"/>
        <rFont val="Arial"/>
        <family val="2"/>
      </rPr>
      <t xml:space="preserve"> de votre école à 7 chiffres et une lettre commençant par 006</t>
    </r>
  </si>
  <si>
    <t>aide ici pour le trouver ---&gt;</t>
  </si>
  <si>
    <t>http://minilien.fr/a0mqvk</t>
  </si>
  <si>
    <r>
      <t>SAISIR</t>
    </r>
    <r>
      <rPr>
        <sz val="10"/>
        <rFont val="Arial"/>
        <family val="2"/>
      </rPr>
      <t xml:space="preserve"> ce </t>
    </r>
    <r>
      <rPr>
        <b/>
        <sz val="10"/>
        <rFont val="Arial"/>
        <family val="2"/>
      </rPr>
      <t>RNE</t>
    </r>
    <r>
      <rPr>
        <sz val="10"/>
        <rFont val="Arial"/>
        <family val="2"/>
      </rPr>
      <t xml:space="preserve"> dans le cadre bleu à droite en majuscules et sans espace : </t>
    </r>
  </si>
  <si>
    <r>
      <t>étape 2</t>
    </r>
    <r>
      <rPr>
        <sz val="10"/>
        <rFont val="Arial"/>
        <family val="2"/>
      </rPr>
      <t xml:space="preserve"> : 
</t>
    </r>
    <r>
      <rPr>
        <b/>
        <sz val="10"/>
        <rFont val="Arial"/>
        <family val="2"/>
      </rPr>
      <t>SELECTIONNER</t>
    </r>
    <r>
      <rPr>
        <sz val="10"/>
        <rFont val="Arial"/>
        <family val="2"/>
      </rPr>
      <t xml:space="preserve"> les cellules jaunes ci-dessous </t>
    </r>
  </si>
  <si>
    <t>ici pour sélectionner automatiquement</t>
  </si>
  <si>
    <r>
      <t xml:space="preserve">et les
</t>
    </r>
    <r>
      <rPr>
        <b/>
        <sz val="10"/>
        <rFont val="Arial"/>
        <family val="2"/>
      </rPr>
      <t>COPIER</t>
    </r>
    <r>
      <rPr>
        <sz val="10"/>
        <rFont val="Arial"/>
        <family val="2"/>
      </rPr>
      <t xml:space="preserve">  (menu "Edition" --&gt; "copier" ou CTRL+C)</t>
    </r>
  </si>
  <si>
    <r>
      <t>étape 3</t>
    </r>
    <r>
      <rPr>
        <sz val="10"/>
        <rFont val="Arial"/>
        <family val="2"/>
      </rPr>
      <t xml:space="preserve"> :
</t>
    </r>
    <r>
      <rPr>
        <b/>
        <sz val="10"/>
        <rFont val="Arial"/>
        <family val="2"/>
      </rPr>
      <t>CLIQUER</t>
    </r>
    <r>
      <rPr>
        <sz val="10"/>
        <rFont val="Arial"/>
        <family val="2"/>
      </rPr>
      <t xml:space="preserve"> sur le lien ci contre, -----------&gt;
et </t>
    </r>
    <r>
      <rPr>
        <b/>
        <sz val="10"/>
        <rFont val="Arial"/>
        <family val="2"/>
      </rPr>
      <t>COLLER</t>
    </r>
    <r>
      <rPr>
        <sz val="10"/>
        <rFont val="Arial"/>
        <family val="2"/>
      </rPr>
      <t xml:space="preserve"> dans le formulaire en ligne (CTRL+V) . 
Vous pouvez utilisez votre fichier sur l'ordinateur de la direction si vous n'avez pas Internet en classe.</t>
    </r>
  </si>
  <si>
    <t>ICI</t>
  </si>
  <si>
    <t xml:space="preserve">Attention ! il subsiste des cellules rouges dans l'onglet "à_lire" ! </t>
  </si>
  <si>
    <t>Cannes</t>
  </si>
  <si>
    <t>non</t>
  </si>
  <si>
    <t>Anglais</t>
  </si>
  <si>
    <t>CM2A</t>
  </si>
  <si>
    <t>Alizan Gaspard</t>
  </si>
  <si>
    <t>Auboisdormant Abel</t>
  </si>
  <si>
    <t>Balmaské Alonzo</t>
  </si>
  <si>
    <t>Dejeu Bernadette</t>
  </si>
  <si>
    <t>Diron-Dayle Denis</t>
  </si>
  <si>
    <t>Enfaillite Mélusine</t>
  </si>
  <si>
    <t>Fréchi Sarah</t>
  </si>
  <si>
    <t>Hutte Sacha</t>
  </si>
  <si>
    <t>Itmieu Elmer</t>
  </si>
  <si>
    <t>Kelpeuv Alphonse</t>
  </si>
  <si>
    <t>Kepoura Adrienne</t>
  </si>
  <si>
    <t>Labrosse Adam</t>
  </si>
  <si>
    <t>Iléosud Eléonore</t>
  </si>
  <si>
    <t>Javel Aude</t>
  </si>
  <si>
    <t>Liguili Guy</t>
  </si>
  <si>
    <t>Menvussa Gérard</t>
  </si>
  <si>
    <t>Micoton Milène</t>
  </si>
  <si>
    <t>Pérémère Yvan</t>
  </si>
  <si>
    <t>Saloy Bénédicte</t>
  </si>
  <si>
    <t>Tassion Félicie</t>
  </si>
  <si>
    <t>Técenfaute Dick</t>
  </si>
  <si>
    <t>Titouplin Jean</t>
  </si>
  <si>
    <t>ALBERT CAMUS</t>
  </si>
  <si>
    <t>0060000G</t>
  </si>
  <si>
    <t>Elève31</t>
  </si>
  <si>
    <t>Elève32</t>
  </si>
  <si>
    <r>
      <t xml:space="preserve">Niveau A1 </t>
    </r>
    <r>
      <rPr>
        <sz val="11"/>
        <rFont val="Arial"/>
        <family val="2"/>
      </rPr>
      <t xml:space="preserve">Comprendre, réagir et parler en interaction orale. Je peux communiquer de façon simple à condition que l’interlocuteur soit disposé à répéter ou à reformuler ses phrases plus lentement et à m’aider à formuler ce que j’essaie de dire. Je peux poser des questions simples sur des sujets familiers ou sur ce dont j’ai immédiatement besoin, ainsi que répondre à de telles questions 
</t>
    </r>
    <r>
      <rPr>
        <b/>
        <sz val="11"/>
        <rFont val="Arial"/>
        <family val="2"/>
      </rPr>
      <t>Socle commun Palier 2 - Compétence 2</t>
    </r>
    <r>
      <rPr>
        <sz val="11"/>
        <rFont val="Arial"/>
        <family val="2"/>
      </rPr>
      <t xml:space="preserve">
L’élève est capable de communiquer, se présenter, répondre à des questions et en poser.</t>
    </r>
  </si>
  <si>
    <r>
      <t xml:space="preserve">Niveau A1
</t>
    </r>
    <r>
      <rPr>
        <sz val="11"/>
        <rFont val="Arial"/>
        <family val="2"/>
      </rPr>
      <t>Je peux écrire une courte carte postale simple, par exemple de vacances. Je peux porter des détails personnels dans un questionnaire, inscrire par exemple mon nom, ma nationalité et mon adresse sur une fiche d’hôtel.</t>
    </r>
  </si>
  <si>
    <r>
      <t xml:space="preserve">Niveau A1
</t>
    </r>
    <r>
      <rPr>
        <sz val="11"/>
        <rFont val="Arial"/>
        <family val="2"/>
      </rPr>
      <t>Lire et comprendre des noms familiers, des mots ainsi que des phrases très simples, par exemple dans des annonces, des affiches ou des catalogues.</t>
    </r>
  </si>
  <si>
    <r>
      <t xml:space="preserve">Niveau A1
</t>
    </r>
    <r>
      <rPr>
        <sz val="11"/>
        <rFont val="Arial"/>
        <family val="2"/>
      </rPr>
      <t>Comprendre des mots familiers et des expressions très courantes au sujet de moi-même, et de ma famille et de l’environnement concret et immédiat, si les gens parlent lentement et distinctement</t>
    </r>
    <r>
      <rPr>
        <b/>
        <sz val="11"/>
        <rFont val="Arial"/>
        <family val="2"/>
      </rPr>
      <t xml:space="preserve">
Socle commun -&gt; Palier 2 -&gt; Compétence 2
</t>
    </r>
    <r>
      <rPr>
        <sz val="11"/>
        <rFont val="Arial"/>
        <family val="2"/>
      </rPr>
      <t>L’élève est capable de comprendre des consignes, des mots familiers et des expressions très courantes.!
Comprendre des mots familiers et des expressions très courantes au sujet de moi-même, et de ma famille et de l’environnement concret et immédiat, si les gens parlent lentement et distinctement</t>
    </r>
  </si>
  <si>
    <t>Compétences</t>
  </si>
  <si>
    <r>
      <t xml:space="preserve">Niveau A1 </t>
    </r>
    <r>
      <rPr>
        <sz val="11"/>
        <rFont val="Arial"/>
        <family val="2"/>
      </rPr>
      <t>Parler en continu
Je peux utiliser des expressions et des phrases simples pour décrire mon lieu d’habitation et les gens que je connais.
La prononciation d’un répertoire très limité d’expressions et de mots mémorisés est compréhensible avec quelque effort pour un locuteur natif habitué aux locuteurs du groupe linguistique de l’apprenant.</t>
    </r>
  </si>
  <si>
    <t>Exercice 1 – Epelle en anglais ton prénom et les mots suivants : PARIS, ENGLAND.</t>
  </si>
  <si>
    <t>Exercice 2 - Récite une comptine, un poème ou chante une chanson que tu choisis dans la liste de la classe.</t>
  </si>
  <si>
    <t>Exercice 3 – Tu vas entendre 3 phrases que tu devras répéter. Chaque phrase sera dite 2 fois. Attends bien la 2nde fois pour répéter. Fais attention à l’accentuation et à la mélodie de la phrase.</t>
  </si>
  <si>
    <t>Exercice 4 – Voici 2 cartes d’identité inventées. Choisis-en une et présente-toi comme si tu étais ce personnage. Pour réussir, tu dois dire au moins 6 phrases et plus si tu le souhaites.</t>
  </si>
  <si>
    <t>Exercice 1- Écris le numéro de chaque dialogue dans la case correspondante (3 réponses)</t>
  </si>
  <si>
    <t>Exercice 2- Écoute deux fois le dialogue et coche l’image qui indique où se passe la scène (1 réponse).</t>
  </si>
  <si>
    <t>Exercice 3- Écoute attentivement la conversation puis coche la bonne réponse (1 réponse).</t>
  </si>
  <si>
    <t>Exercice 4-  Écoute à nouveau la conversation et réponds en français par un mot.</t>
  </si>
  <si>
    <t>Exercice 5- Écoute la question et sa réponse puis illustre la réponse par un dessin.</t>
  </si>
  <si>
    <t>Exercice 6- Écris sous chaque image le numéro qui correspond.</t>
  </si>
  <si>
    <t>Exercice 7- Sors tes crayons de couleurs ou tes feutres. Ecris les nombres en chiffres de la couleur demandée</t>
  </si>
  <si>
    <t>Exercice 1- Lis attentivement la carte postale suivante. Réponds ensuite aux questions en cochant la réponse correcte.</t>
  </si>
  <si>
    <t xml:space="preserve">Exercice 2- Lis ce que dit le monstre et complète le dessin.
</t>
  </si>
  <si>
    <t>Exercice 3- Lis les devinettes. Reporte le numéro de chaque devinette à droite du nom de l’animal correspondant.</t>
  </si>
  <si>
    <t>Exercice 4-  Pour chacune des 4 images, trouve la phrase correspondante dans la liste proposée. Ecris le bon numéro sous chaque image. Attention, il y a plus de phrases que d’images !</t>
  </si>
  <si>
    <t>Exercice 5-  À chaque question correspond une réponse. Reporte le numéro de chaque question devant sa réponse.</t>
  </si>
  <si>
    <t>Exercice 1-  Recopie le texte suivant sans erreur et en gardant la même présentation. Fais bien attention aux majuscules et à la ponctuation.</t>
  </si>
  <si>
    <t>Exercice 2- Remets les mots en ordre pour construire une phrase ; aide-toi des majuscules et de la ponctuation.</t>
  </si>
  <si>
    <t>Exercice 3- Recopie cet énoncé en séparant les mots les uns des autres pour obtenir une phrase correcte.</t>
  </si>
  <si>
    <t>Exercice 4- Ecris les phrases que tu entends. N’oublie pas la majuscule en début de phrase. Chaque phrase sera répétée 3 fois. Attention, les majuscules et la ponctuation comptent.</t>
  </si>
  <si>
    <t xml:space="preserve">Exercice 5- Tu viens de recevoir un message électronique de ton nouveau correspondant étranger. Rédige ton propre e-mail en t’aidant de son message. Tu dois modifier au moins 8 éléments parmi ceux soulignés. A ton tour, souligne dans ton texte les éléments que tu auras modifiés.
</t>
  </si>
  <si>
    <t>Exercice 1- Réponds à l’oral à chacune des questions qu’on te pose.
Tu dois répondre par des phrases.</t>
  </si>
  <si>
    <t>Exercice 2- Imagine qu’un nouvel élève arrive à l’école. Il est anglais. Pose-lui au moins 4 questions en anglais pour apprendre à le connaître.</t>
  </si>
  <si>
    <t>Réponses</t>
  </si>
  <si>
    <t>Peudeau Justin</t>
  </si>
  <si>
    <t>Treux Jean-Régis</t>
  </si>
  <si>
    <t>Tartine Kimberley</t>
  </si>
  <si>
    <t>Gina Laurent</t>
  </si>
  <si>
    <t>Stiké Sophie</t>
  </si>
  <si>
    <t>Ouzy Jacques</t>
  </si>
  <si>
    <t>Youbèbe Agathe</t>
  </si>
  <si>
    <t>Fonfec Sophie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</si>
</sst>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 yyyy;@"/>
    <numFmt numFmtId="165" formatCode="mmmm\ yyyy"/>
    <numFmt numFmtId="166" formatCode="0.0%"/>
  </numFmts>
  <fonts count="114">
    <font>
      <sz val="10"/>
      <name val="Arial"/>
      <family val="2"/>
    </font>
    <font>
      <sz val="10"/>
      <name val="Mangal"/>
      <family val="2"/>
    </font>
    <font>
      <sz val="10"/>
      <color indexed="9"/>
      <name val="Mangal"/>
      <family val="2"/>
    </font>
    <font>
      <sz val="10"/>
      <color indexed="8"/>
      <name val="Mangal"/>
      <family val="2"/>
    </font>
    <font>
      <sz val="9"/>
      <name val="Arial Narrow"/>
      <family val="2"/>
    </font>
    <font>
      <i/>
      <sz val="10"/>
      <name val="Comic Sans MS"/>
      <family val="4"/>
    </font>
    <font>
      <sz val="28"/>
      <color indexed="9"/>
      <name val="Arial"/>
      <family val="2"/>
    </font>
    <font>
      <b/>
      <i/>
      <sz val="14"/>
      <name val="Comic Sans MS"/>
      <family val="4"/>
    </font>
    <font>
      <b/>
      <sz val="12"/>
      <color indexed="16"/>
      <name val="Arial Narrow"/>
      <family val="2"/>
    </font>
    <font>
      <b/>
      <sz val="10"/>
      <color indexed="16"/>
      <name val="Arial Narrow"/>
      <family val="2"/>
    </font>
    <font>
      <b/>
      <sz val="9"/>
      <name val="Arial Narrow"/>
      <family val="2"/>
    </font>
    <font>
      <sz val="9"/>
      <name val="Arial"/>
      <family val="2"/>
    </font>
    <font>
      <sz val="11"/>
      <name val="Arial"/>
      <family val="2"/>
    </font>
    <font>
      <b/>
      <sz val="9"/>
      <color indexed="39"/>
      <name val="Arial Narrow"/>
      <family val="2"/>
    </font>
    <font>
      <sz val="9"/>
      <color indexed="39"/>
      <name val="Arial Narrow"/>
      <family val="2"/>
    </font>
    <font>
      <b/>
      <sz val="10.5"/>
      <color indexed="16"/>
      <name val="Arial Narrow"/>
      <family val="2"/>
    </font>
    <font>
      <sz val="10"/>
      <color indexed="10"/>
      <name val="Arial"/>
      <family val="2"/>
    </font>
    <font>
      <sz val="10"/>
      <color indexed="9"/>
      <name val="Arial"/>
      <family val="2"/>
    </font>
    <font>
      <b/>
      <sz val="12"/>
      <name val="Arial"/>
      <family val="2"/>
    </font>
    <font>
      <b/>
      <sz val="9"/>
      <name val="Arial"/>
      <family val="2"/>
    </font>
    <font>
      <sz val="12"/>
      <name val="Arial"/>
      <family val="2"/>
    </font>
    <font>
      <b/>
      <sz val="8"/>
      <color indexed="16"/>
      <name val="Arial"/>
      <family val="2"/>
    </font>
    <font>
      <sz val="10"/>
      <color indexed="48"/>
      <name val="Arial Narrow"/>
      <family val="2"/>
    </font>
    <font>
      <sz val="10"/>
      <color indexed="16"/>
      <name val="Arial Narrow"/>
      <family val="2"/>
    </font>
    <font>
      <sz val="7"/>
      <name val="Arial"/>
      <family val="2"/>
    </font>
    <font>
      <sz val="8"/>
      <name val="Arial"/>
      <family val="2"/>
    </font>
    <font>
      <b/>
      <i/>
      <sz val="13"/>
      <name val="Arial"/>
      <family val="2"/>
    </font>
    <font>
      <b/>
      <i/>
      <u val="single"/>
      <sz val="13"/>
      <name val="Arial"/>
      <family val="2"/>
    </font>
    <font>
      <u val="single"/>
      <sz val="11"/>
      <name val="Arial Narrow"/>
      <family val="2"/>
    </font>
    <font>
      <b/>
      <sz val="10"/>
      <color indexed="39"/>
      <name val="Arial Narrow"/>
      <family val="2"/>
    </font>
    <font>
      <sz val="12"/>
      <name val="Times New Roman"/>
      <family val="1"/>
    </font>
    <font>
      <sz val="13"/>
      <name val="Times New Roman"/>
      <family val="1"/>
    </font>
    <font>
      <b/>
      <sz val="6"/>
      <color indexed="16"/>
      <name val="Arial Narrow"/>
      <family val="2"/>
    </font>
    <font>
      <b/>
      <sz val="6"/>
      <name val="Arial Narrow"/>
      <family val="2"/>
    </font>
    <font>
      <b/>
      <sz val="13"/>
      <color indexed="16"/>
      <name val="Arial Narrow"/>
      <family val="2"/>
    </font>
    <font>
      <sz val="8"/>
      <color indexed="8"/>
      <name val="Arial Narrow"/>
      <family val="2"/>
    </font>
    <font>
      <sz val="8"/>
      <name val="Arial Narrow"/>
      <family val="2"/>
    </font>
    <font>
      <b/>
      <sz val="8"/>
      <color indexed="8"/>
      <name val="Arial Narrow"/>
      <family val="2"/>
    </font>
    <font>
      <b/>
      <sz val="8"/>
      <name val="Arial"/>
      <family val="2"/>
    </font>
    <font>
      <sz val="8"/>
      <color indexed="39"/>
      <name val="Arial Narrow"/>
      <family val="2"/>
    </font>
    <font>
      <b/>
      <sz val="14"/>
      <name val="Arial"/>
      <family val="2"/>
    </font>
    <font>
      <b/>
      <sz val="18"/>
      <name val="Arial"/>
      <family val="2"/>
    </font>
    <font>
      <sz val="15"/>
      <name val="Arial"/>
      <family val="2"/>
    </font>
    <font>
      <b/>
      <sz val="22"/>
      <name val="Arial"/>
      <family val="2"/>
    </font>
    <font>
      <b/>
      <sz val="10"/>
      <color indexed="9"/>
      <name val="Arial"/>
      <family val="2"/>
    </font>
    <font>
      <b/>
      <sz val="14"/>
      <color indexed="9"/>
      <name val="Arial"/>
      <family val="2"/>
    </font>
    <font>
      <b/>
      <sz val="12"/>
      <color indexed="9"/>
      <name val="Arial"/>
      <family val="2"/>
    </font>
    <font>
      <b/>
      <sz val="13"/>
      <color indexed="9"/>
      <name val="Arial"/>
      <family val="2"/>
    </font>
    <font>
      <b/>
      <sz val="10"/>
      <name val="Arial"/>
      <family val="2"/>
    </font>
    <font>
      <sz val="16"/>
      <name val="Arial"/>
      <family val="2"/>
    </font>
    <font>
      <b/>
      <sz val="15"/>
      <color indexed="8"/>
      <name val="Arial"/>
      <family val="2"/>
    </font>
    <font>
      <b/>
      <sz val="15"/>
      <name val="Arial"/>
      <family val="2"/>
    </font>
    <font>
      <b/>
      <sz val="14"/>
      <color indexed="8"/>
      <name val="Arial"/>
      <family val="2"/>
    </font>
    <font>
      <b/>
      <sz val="11"/>
      <name val="Arial"/>
      <family val="2"/>
    </font>
    <font>
      <sz val="14"/>
      <name val="Arial"/>
      <family val="2"/>
    </font>
    <font>
      <sz val="6"/>
      <color indexed="9"/>
      <name val="Arial"/>
      <family val="2"/>
    </font>
    <font>
      <b/>
      <sz val="10"/>
      <color indexed="10"/>
      <name val="Arial"/>
      <family val="2"/>
    </font>
    <font>
      <sz val="10"/>
      <color indexed="12"/>
      <name val="Times New Roman"/>
      <family val="1"/>
    </font>
    <font>
      <u val="single"/>
      <sz val="10"/>
      <color indexed="12"/>
      <name val="Arial"/>
      <family val="2"/>
    </font>
    <font>
      <b/>
      <sz val="16"/>
      <color indexed="9"/>
      <name val="Times New Roman"/>
      <family val="1"/>
    </font>
    <font>
      <sz val="10"/>
      <color indexed="8"/>
      <name val="Arial"/>
      <family val="0"/>
    </font>
    <font>
      <sz val="11"/>
      <color indexed="8"/>
      <name val="Arial"/>
      <family val="0"/>
    </font>
    <font>
      <sz val="8"/>
      <color indexed="8"/>
      <name val="Arial"/>
      <family val="0"/>
    </font>
    <font>
      <b/>
      <sz val="8"/>
      <color indexed="9"/>
      <name val="Arial"/>
      <family val="0"/>
    </font>
    <font>
      <sz val="11"/>
      <color indexed="8"/>
      <name val="Calibri"/>
      <family val="2"/>
    </font>
    <font>
      <sz val="11"/>
      <color indexed="9"/>
      <name val="Calibri"/>
      <family val="2"/>
    </font>
    <font>
      <sz val="11"/>
      <color indexed="10"/>
      <name val="Calibri"/>
      <family val="2"/>
    </font>
    <font>
      <sz val="11"/>
      <color indexed="17"/>
      <name val="Calibri"/>
      <family val="2"/>
    </font>
    <font>
      <b/>
      <sz val="11"/>
      <color indexed="25"/>
      <name val="Calibri"/>
      <family val="2"/>
    </font>
    <font>
      <sz val="11"/>
      <color indexed="25"/>
      <name val="Calibri"/>
      <family val="2"/>
    </font>
    <font>
      <sz val="11"/>
      <color indexed="62"/>
      <name val="Calibri"/>
      <family val="2"/>
    </font>
    <font>
      <sz val="11"/>
      <color indexed="20"/>
      <name val="Calibri"/>
      <family val="2"/>
    </font>
    <font>
      <u val="single"/>
      <sz val="10"/>
      <color indexed="20"/>
      <name val="Arial"/>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7"/>
      <color indexed="10"/>
      <name val="Arial"/>
      <family val="0"/>
    </font>
    <font>
      <b/>
      <sz val="15"/>
      <color indexed="10"/>
      <name val="Arial"/>
      <family val="0"/>
    </font>
    <font>
      <b/>
      <sz val="14"/>
      <color indexed="10"/>
      <name val="Arial"/>
      <family val="0"/>
    </font>
    <font>
      <sz val="11"/>
      <color indexed="10"/>
      <name val="Arial"/>
      <family val="0"/>
    </font>
    <font>
      <sz val="6"/>
      <color indexed="10"/>
      <name val="Arial"/>
      <family val="0"/>
    </font>
    <font>
      <sz val="10"/>
      <name val="Geneva"/>
      <family val="0"/>
    </font>
    <font>
      <b/>
      <sz val="16"/>
      <color indexed="17"/>
      <name val="Times New Roman"/>
      <family val="0"/>
    </font>
    <font>
      <sz val="11"/>
      <color theme="1"/>
      <name val="Calibri"/>
      <family val="2"/>
    </font>
    <font>
      <sz val="11"/>
      <color theme="0"/>
      <name val="Calibri"/>
      <family val="2"/>
    </font>
    <font>
      <sz val="11"/>
      <color rgb="FFFF0000"/>
      <name val="Calibri"/>
      <family val="2"/>
    </font>
    <font>
      <sz val="11"/>
      <color rgb="FF0061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0"/>
    </font>
    <font>
      <sz val="7"/>
      <color rgb="FFFF0000"/>
      <name val="Arial"/>
      <family val="0"/>
    </font>
    <font>
      <b/>
      <sz val="15"/>
      <color rgb="FFFF0000"/>
      <name val="Arial"/>
      <family val="0"/>
    </font>
    <font>
      <b/>
      <sz val="14"/>
      <color rgb="FFFF0000"/>
      <name val="Arial"/>
      <family val="0"/>
    </font>
    <font>
      <sz val="11"/>
      <color rgb="FFFF0000"/>
      <name val="Arial"/>
      <family val="0"/>
    </font>
    <font>
      <sz val="6"/>
      <color rgb="FFFF0000"/>
      <name val="Arial"/>
      <family val="0"/>
    </font>
    <font>
      <sz val="6"/>
      <color theme="0"/>
      <name val="Arial"/>
      <family val="0"/>
    </font>
  </fonts>
  <fills count="55">
    <fill>
      <patternFill/>
    </fill>
    <fill>
      <patternFill patternType="gray125"/>
    </fill>
    <fill>
      <patternFill patternType="solid">
        <fgColor indexed="5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7"/>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rgb="FFA5A5A5"/>
        <bgColor indexed="64"/>
      </patternFill>
    </fill>
    <fill>
      <patternFill patternType="solid">
        <fgColor indexed="31"/>
        <bgColor indexed="64"/>
      </patternFill>
    </fill>
    <fill>
      <patternFill patternType="solid">
        <fgColor indexed="9"/>
        <bgColor indexed="64"/>
      </patternFill>
    </fill>
    <fill>
      <patternFill patternType="solid">
        <fgColor indexed="10"/>
        <bgColor indexed="64"/>
      </patternFill>
    </fill>
    <fill>
      <patternFill patternType="solid">
        <fgColor indexed="34"/>
        <bgColor indexed="64"/>
      </patternFill>
    </fill>
    <fill>
      <patternFill patternType="solid">
        <fgColor indexed="44"/>
        <bgColor indexed="64"/>
      </patternFill>
    </fill>
    <fill>
      <patternFill patternType="solid">
        <fgColor indexed="49"/>
        <bgColor indexed="64"/>
      </patternFill>
    </fill>
    <fill>
      <patternFill patternType="solid">
        <fgColor indexed="41"/>
        <bgColor indexed="64"/>
      </patternFill>
    </fill>
    <fill>
      <patternFill patternType="solid">
        <fgColor indexed="24"/>
        <bgColor indexed="64"/>
      </patternFill>
    </fill>
    <fill>
      <patternFill patternType="solid">
        <fgColor indexed="42"/>
        <bgColor indexed="64"/>
      </patternFill>
    </fill>
    <fill>
      <patternFill patternType="solid">
        <fgColor indexed="13"/>
        <bgColor indexed="64"/>
      </patternFill>
    </fill>
    <fill>
      <patternFill patternType="solid">
        <fgColor indexed="55"/>
        <bgColor indexed="64"/>
      </patternFill>
    </fill>
    <fill>
      <patternFill patternType="solid">
        <fgColor indexed="26"/>
        <bgColor indexed="64"/>
      </patternFill>
    </fill>
    <fill>
      <patternFill patternType="solid">
        <fgColor rgb="FFE6E6FF"/>
        <bgColor indexed="64"/>
      </patternFill>
    </fill>
    <fill>
      <patternFill patternType="solid">
        <fgColor rgb="FF93C1D9"/>
        <bgColor indexed="64"/>
      </patternFill>
    </fill>
    <fill>
      <patternFill patternType="solid">
        <fgColor indexed="25"/>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s>
  <borders count="44">
    <border>
      <left/>
      <right/>
      <top/>
      <bottom/>
      <diagonal/>
    </border>
    <border>
      <left style="hair">
        <color indexed="8"/>
      </left>
      <right style="hair">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thin">
        <color indexed="8"/>
      </right>
      <top style="thin">
        <color indexed="8"/>
      </top>
      <bottom style="thin">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thin">
        <color indexed="8"/>
      </left>
      <right style="thin">
        <color indexed="8"/>
      </right>
      <top style="thin">
        <color indexed="8"/>
      </top>
      <bottom style="thin">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right style="thin"/>
      <top style="thin">
        <color indexed="8"/>
      </top>
      <bottom style="thin"/>
    </border>
    <border>
      <left style="thin"/>
      <right style="thin"/>
      <top style="thin"/>
      <bottom style="thin"/>
    </border>
    <border>
      <left style="thin"/>
      <right style="thin">
        <color indexed="8"/>
      </right>
      <top style="thin">
        <color indexed="8"/>
      </top>
      <bottom style="thin"/>
    </border>
    <border>
      <left style="thin">
        <color indexed="8"/>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thin">
        <color indexed="8"/>
      </top>
      <bottom style="thin"/>
    </border>
    <border>
      <left style="thin">
        <color indexed="8"/>
      </left>
      <right style="thin"/>
      <top style="thin">
        <color indexed="8"/>
      </top>
      <bottom style="thin">
        <color indexed="8"/>
      </bottom>
    </border>
    <border>
      <left style="thin"/>
      <right style="thin">
        <color indexed="8"/>
      </right>
      <top style="thin"/>
      <bottom>
        <color indexed="63"/>
      </bottom>
    </border>
    <border>
      <left style="thin"/>
      <right style="thin">
        <color indexed="8"/>
      </right>
      <top>
        <color indexed="63"/>
      </top>
      <bottom style="thin">
        <color indexed="8"/>
      </bottom>
    </border>
    <border>
      <left style="thin">
        <color rgb="FF000000"/>
      </left>
      <right>
        <color indexed="63"/>
      </right>
      <top style="thin">
        <color rgb="FF000000"/>
      </top>
      <bottom style="thin">
        <color indexed="8"/>
      </bottom>
    </border>
    <border>
      <left>
        <color indexed="63"/>
      </left>
      <right>
        <color indexed="63"/>
      </right>
      <top style="thin">
        <color rgb="FF000000"/>
      </top>
      <bottom style="thin">
        <color indexed="8"/>
      </bottom>
    </border>
    <border>
      <left>
        <color indexed="63"/>
      </left>
      <right style="thin">
        <color rgb="FF000000"/>
      </right>
      <top style="thin">
        <color rgb="FF000000"/>
      </top>
      <bottom style="thin">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89"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1" fillId="0" borderId="0" applyNumberFormat="0" applyFill="0" applyBorder="0" applyAlignment="0" applyProtection="0"/>
    <xf numFmtId="0" fontId="2" fillId="0" borderId="1" applyNumberFormat="0" applyFill="0" applyProtection="0">
      <alignment horizontal="center" vertical="center"/>
    </xf>
    <xf numFmtId="0" fontId="92" fillId="27" borderId="0" applyNumberFormat="0" applyBorder="0" applyAlignment="0" applyProtection="0"/>
    <xf numFmtId="0" fontId="93" fillId="28" borderId="2" applyNumberFormat="0" applyAlignment="0" applyProtection="0"/>
    <xf numFmtId="0" fontId="94" fillId="0" borderId="3" applyNumberFormat="0" applyFill="0" applyAlignment="0" applyProtection="0"/>
    <xf numFmtId="0" fontId="95" fillId="29" borderId="2" applyNumberFormat="0" applyAlignment="0" applyProtection="0"/>
    <xf numFmtId="0" fontId="96" fillId="30" borderId="0" applyNumberFormat="0" applyBorder="0" applyAlignment="0" applyProtection="0"/>
    <xf numFmtId="0" fontId="3" fillId="31" borderId="1" applyNumberFormat="0" applyProtection="0">
      <alignment horizontal="center" vertical="center"/>
    </xf>
    <xf numFmtId="0" fontId="58" fillId="0" borderId="0" applyNumberFormat="0" applyFill="0" applyBorder="0" applyAlignment="0" applyProtection="0"/>
    <xf numFmtId="0" fontId="97"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32" borderId="1" applyNumberFormat="0" applyProtection="0">
      <alignment horizontal="center"/>
    </xf>
    <xf numFmtId="0" fontId="98" fillId="33" borderId="0" applyNumberFormat="0" applyBorder="0" applyAlignment="0" applyProtection="0"/>
    <xf numFmtId="0" fontId="4" fillId="0" borderId="0">
      <alignment/>
      <protection/>
    </xf>
    <xf numFmtId="9" fontId="0" fillId="0" borderId="0" applyFill="0" applyBorder="0" applyAlignment="0" applyProtection="0"/>
    <xf numFmtId="0" fontId="0" fillId="34" borderId="4" applyNumberFormat="0" applyFont="0" applyAlignment="0" applyProtection="0"/>
    <xf numFmtId="0" fontId="3" fillId="35" borderId="1" applyNumberFormat="0" applyProtection="0">
      <alignment horizontal="center" vertical="center"/>
    </xf>
    <xf numFmtId="0" fontId="99" fillId="28" borderId="5"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6" applyNumberFormat="0" applyFill="0" applyAlignment="0" applyProtection="0"/>
    <xf numFmtId="0" fontId="103" fillId="0" borderId="7" applyNumberFormat="0" applyFill="0" applyAlignment="0" applyProtection="0"/>
    <xf numFmtId="0" fontId="104" fillId="0" borderId="8" applyNumberFormat="0" applyFill="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36" borderId="10" applyNumberFormat="0" applyAlignment="0" applyProtection="0"/>
    <xf numFmtId="0" fontId="3" fillId="37" borderId="1" applyNumberFormat="0" applyProtection="0">
      <alignment horizontal="center" vertical="center"/>
    </xf>
  </cellStyleXfs>
  <cellXfs count="257">
    <xf numFmtId="0" fontId="0" fillId="0" borderId="0" xfId="0" applyAlignment="1">
      <alignment/>
    </xf>
    <xf numFmtId="0" fontId="4" fillId="0" borderId="0" xfId="56" applyFill="1" applyProtection="1">
      <alignment/>
      <protection/>
    </xf>
    <xf numFmtId="0" fontId="4" fillId="38" borderId="0" xfId="56" applyFill="1" applyProtection="1">
      <alignment/>
      <protection/>
    </xf>
    <xf numFmtId="0" fontId="5" fillId="38" borderId="0" xfId="56" applyFont="1" applyFill="1" applyAlignment="1" applyProtection="1">
      <alignment horizontal="center"/>
      <protection/>
    </xf>
    <xf numFmtId="0" fontId="4" fillId="38" borderId="0" xfId="56" applyFill="1" applyAlignment="1" applyProtection="1">
      <alignment horizontal="center"/>
      <protection/>
    </xf>
    <xf numFmtId="0" fontId="6" fillId="39" borderId="0" xfId="0" applyFont="1" applyFill="1" applyAlignment="1" applyProtection="1">
      <alignment horizontal="center"/>
      <protection locked="0"/>
    </xf>
    <xf numFmtId="0" fontId="8" fillId="38" borderId="0" xfId="56" applyFont="1" applyFill="1" applyBorder="1" applyAlignment="1" applyProtection="1">
      <alignment horizontal="center"/>
      <protection/>
    </xf>
    <xf numFmtId="0" fontId="9" fillId="38" borderId="0" xfId="56" applyFont="1" applyFill="1" applyAlignment="1" applyProtection="1">
      <alignment horizontal="center" vertical="center"/>
      <protection/>
    </xf>
    <xf numFmtId="0" fontId="10" fillId="0" borderId="0" xfId="56" applyFont="1" applyFill="1" applyBorder="1" applyAlignment="1" applyProtection="1">
      <alignment horizontal="center"/>
      <protection/>
    </xf>
    <xf numFmtId="0" fontId="10" fillId="40" borderId="1" xfId="56" applyFont="1" applyFill="1" applyBorder="1" applyAlignment="1" applyProtection="1">
      <alignment horizontal="center"/>
      <protection/>
    </xf>
    <xf numFmtId="0" fontId="5" fillId="41" borderId="11" xfId="56" applyFont="1" applyFill="1" applyBorder="1" applyAlignment="1" applyProtection="1">
      <alignment horizontal="center"/>
      <protection/>
    </xf>
    <xf numFmtId="0" fontId="5" fillId="41" borderId="12" xfId="56" applyFont="1" applyFill="1" applyBorder="1" applyAlignment="1" applyProtection="1">
      <alignment horizontal="center"/>
      <protection/>
    </xf>
    <xf numFmtId="0" fontId="5" fillId="41" borderId="13" xfId="56" applyFont="1" applyFill="1" applyBorder="1" applyAlignment="1" applyProtection="1">
      <alignment horizontal="center"/>
      <protection/>
    </xf>
    <xf numFmtId="0" fontId="11" fillId="38" borderId="1" xfId="56" applyFont="1" applyFill="1" applyBorder="1" applyAlignment="1" applyProtection="1">
      <alignment horizontal="center"/>
      <protection/>
    </xf>
    <xf numFmtId="0" fontId="12" fillId="0" borderId="14" xfId="0" applyFont="1" applyBorder="1" applyAlignment="1" applyProtection="1">
      <alignment horizontal="left" vertical="center" wrapText="1"/>
      <protection locked="0"/>
    </xf>
    <xf numFmtId="0" fontId="0" fillId="38" borderId="1" xfId="56" applyFont="1" applyFill="1" applyBorder="1" applyProtection="1">
      <alignment/>
      <protection locked="0"/>
    </xf>
    <xf numFmtId="0" fontId="4" fillId="0" borderId="0" xfId="56" applyFill="1" applyBorder="1" applyAlignment="1" applyProtection="1">
      <alignment horizontal="center"/>
      <protection locked="0"/>
    </xf>
    <xf numFmtId="0" fontId="4" fillId="40" borderId="1" xfId="56" applyFill="1" applyBorder="1" applyAlignment="1" applyProtection="1">
      <alignment horizontal="center"/>
      <protection locked="0"/>
    </xf>
    <xf numFmtId="0" fontId="5" fillId="41" borderId="15" xfId="56" applyFont="1" applyFill="1" applyBorder="1" applyAlignment="1" applyProtection="1">
      <alignment horizontal="center"/>
      <protection/>
    </xf>
    <xf numFmtId="0" fontId="5" fillId="42" borderId="1" xfId="56" applyFont="1" applyFill="1" applyBorder="1" applyAlignment="1" applyProtection="1">
      <alignment horizontal="center"/>
      <protection/>
    </xf>
    <xf numFmtId="164" fontId="13" fillId="38" borderId="1" xfId="56" applyNumberFormat="1" applyFont="1" applyFill="1" applyBorder="1" applyAlignment="1" applyProtection="1">
      <alignment horizontal="center"/>
      <protection/>
    </xf>
    <xf numFmtId="0" fontId="5" fillId="41" borderId="16" xfId="56" applyFont="1" applyFill="1" applyBorder="1" applyAlignment="1" applyProtection="1">
      <alignment horizontal="center"/>
      <protection/>
    </xf>
    <xf numFmtId="0" fontId="4" fillId="0" borderId="0" xfId="56" applyFont="1" applyFill="1" applyBorder="1" applyAlignment="1" applyProtection="1">
      <alignment horizontal="center"/>
      <protection locked="0"/>
    </xf>
    <xf numFmtId="0" fontId="4" fillId="40" borderId="1" xfId="56" applyFont="1" applyFill="1" applyBorder="1" applyAlignment="1" applyProtection="1">
      <alignment horizontal="center"/>
      <protection locked="0"/>
    </xf>
    <xf numFmtId="0" fontId="5" fillId="41" borderId="0" xfId="56" applyFont="1" applyFill="1" applyBorder="1" applyAlignment="1" applyProtection="1">
      <alignment horizontal="center"/>
      <protection/>
    </xf>
    <xf numFmtId="0" fontId="13" fillId="38" borderId="17" xfId="56" applyFont="1" applyFill="1" applyBorder="1" applyAlignment="1" applyProtection="1">
      <alignment horizontal="center"/>
      <protection locked="0"/>
    </xf>
    <xf numFmtId="0" fontId="14" fillId="38" borderId="17" xfId="56" applyFont="1" applyFill="1" applyBorder="1" applyAlignment="1" applyProtection="1">
      <alignment horizontal="center"/>
      <protection locked="0"/>
    </xf>
    <xf numFmtId="0" fontId="4" fillId="41" borderId="18" xfId="56" applyFill="1" applyBorder="1" applyProtection="1">
      <alignment/>
      <protection/>
    </xf>
    <xf numFmtId="0" fontId="5" fillId="41" borderId="19" xfId="56" applyFont="1" applyFill="1" applyBorder="1" applyAlignment="1" applyProtection="1">
      <alignment horizontal="center"/>
      <protection/>
    </xf>
    <xf numFmtId="0" fontId="4" fillId="41" borderId="19" xfId="56" applyFill="1" applyBorder="1" applyAlignment="1" applyProtection="1">
      <alignment horizontal="center"/>
      <protection/>
    </xf>
    <xf numFmtId="0" fontId="4" fillId="41" borderId="20" xfId="56" applyFill="1" applyBorder="1" applyProtection="1">
      <alignment/>
      <protection/>
    </xf>
    <xf numFmtId="0" fontId="4" fillId="0" borderId="0" xfId="56" applyFill="1" applyBorder="1" applyProtection="1">
      <alignment/>
      <protection/>
    </xf>
    <xf numFmtId="0" fontId="5" fillId="0" borderId="0" xfId="56" applyFont="1" applyFill="1" applyBorder="1" applyAlignment="1" applyProtection="1">
      <alignment horizontal="center"/>
      <protection/>
    </xf>
    <xf numFmtId="0" fontId="4" fillId="0" borderId="0" xfId="56" applyFill="1" applyBorder="1" applyAlignment="1" applyProtection="1">
      <alignment horizontal="center"/>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horizontal="center"/>
      <protection/>
    </xf>
    <xf numFmtId="0" fontId="0" fillId="0" borderId="0" xfId="0" applyNumberFormat="1" applyFont="1" applyFill="1" applyBorder="1" applyAlignment="1" applyProtection="1">
      <alignment/>
      <protection/>
    </xf>
    <xf numFmtId="0" fontId="17" fillId="38" borderId="0" xfId="0" applyFont="1" applyFill="1" applyAlignment="1" applyProtection="1">
      <alignment/>
      <protection/>
    </xf>
    <xf numFmtId="0" fontId="0" fillId="38" borderId="0" xfId="0" applyFill="1" applyAlignment="1" applyProtection="1">
      <alignment/>
      <protection/>
    </xf>
    <xf numFmtId="0" fontId="0" fillId="38" borderId="0" xfId="0" applyFill="1" applyAlignment="1" applyProtection="1">
      <alignment horizontal="center"/>
      <protection/>
    </xf>
    <xf numFmtId="0" fontId="17" fillId="38" borderId="0" xfId="0" applyFont="1" applyFill="1" applyAlignment="1" applyProtection="1">
      <alignment/>
      <protection/>
    </xf>
    <xf numFmtId="0" fontId="18" fillId="38" borderId="0" xfId="0" applyFont="1" applyFill="1" applyBorder="1" applyAlignment="1" applyProtection="1">
      <alignment/>
      <protection/>
    </xf>
    <xf numFmtId="0" fontId="0" fillId="38" borderId="0" xfId="0" applyFill="1" applyAlignment="1" applyProtection="1">
      <alignment/>
      <protection/>
    </xf>
    <xf numFmtId="0" fontId="19" fillId="0" borderId="0" xfId="0" applyFont="1" applyFill="1" applyAlignment="1" applyProtection="1">
      <alignment vertical="center"/>
      <protection/>
    </xf>
    <xf numFmtId="0" fontId="18" fillId="0" borderId="0" xfId="0" applyFont="1" applyFill="1" applyBorder="1" applyAlignment="1" applyProtection="1">
      <alignment/>
      <protection/>
    </xf>
    <xf numFmtId="0" fontId="0" fillId="38" borderId="0" xfId="0" applyFont="1" applyFill="1" applyAlignment="1" applyProtection="1">
      <alignment/>
      <protection/>
    </xf>
    <xf numFmtId="0" fontId="0" fillId="0" borderId="0" xfId="0" applyAlignment="1" applyProtection="1">
      <alignment/>
      <protection/>
    </xf>
    <xf numFmtId="0" fontId="11" fillId="38" borderId="0" xfId="0" applyFont="1" applyFill="1" applyAlignment="1" applyProtection="1">
      <alignment/>
      <protection/>
    </xf>
    <xf numFmtId="0" fontId="20" fillId="38" borderId="0" xfId="0" applyFont="1" applyFill="1" applyBorder="1" applyAlignment="1" applyProtection="1">
      <alignment/>
      <protection/>
    </xf>
    <xf numFmtId="0" fontId="21" fillId="0" borderId="0" xfId="0" applyFont="1" applyAlignment="1" applyProtection="1">
      <alignment vertical="center"/>
      <protection/>
    </xf>
    <xf numFmtId="0" fontId="0" fillId="38" borderId="0" xfId="0" applyFill="1" applyAlignment="1" applyProtection="1">
      <alignment horizontal="left"/>
      <protection/>
    </xf>
    <xf numFmtId="0" fontId="22" fillId="38" borderId="0" xfId="0" applyFont="1" applyFill="1" applyAlignment="1" applyProtection="1">
      <alignment vertical="center"/>
      <protection/>
    </xf>
    <xf numFmtId="0" fontId="23" fillId="0" borderId="0" xfId="0" applyFont="1" applyAlignment="1" applyProtection="1">
      <alignment textRotation="90" wrapText="1"/>
      <protection/>
    </xf>
    <xf numFmtId="0" fontId="24" fillId="0" borderId="0" xfId="0" applyFont="1" applyFill="1" applyBorder="1" applyAlignment="1" applyProtection="1">
      <alignment horizontal="center" vertical="center"/>
      <protection/>
    </xf>
    <xf numFmtId="0" fontId="25" fillId="38" borderId="0" xfId="0" applyFont="1" applyFill="1" applyBorder="1" applyAlignment="1" applyProtection="1">
      <alignment horizontal="center"/>
      <protection/>
    </xf>
    <xf numFmtId="0" fontId="24" fillId="0" borderId="0" xfId="0" applyFont="1" applyFill="1" applyBorder="1" applyAlignment="1" applyProtection="1">
      <alignment horizontal="center" vertical="center" wrapText="1"/>
      <protection/>
    </xf>
    <xf numFmtId="0" fontId="28" fillId="0" borderId="0" xfId="0" applyFont="1" applyFill="1" applyAlignment="1" applyProtection="1">
      <alignment horizontal="left"/>
      <protection/>
    </xf>
    <xf numFmtId="0" fontId="29" fillId="43" borderId="17" xfId="0" applyFont="1" applyFill="1" applyBorder="1" applyAlignment="1" applyProtection="1">
      <alignment horizontal="center" vertical="center"/>
      <protection hidden="1"/>
    </xf>
    <xf numFmtId="0" fontId="29" fillId="44" borderId="17" xfId="0" applyFont="1" applyFill="1" applyBorder="1" applyAlignment="1" applyProtection="1">
      <alignment horizontal="center" vertical="center"/>
      <protection hidden="1"/>
    </xf>
    <xf numFmtId="0" fontId="29" fillId="43" borderId="14" xfId="0" applyFont="1" applyFill="1" applyBorder="1" applyAlignment="1" applyProtection="1">
      <alignment horizontal="center" vertical="center"/>
      <protection hidden="1"/>
    </xf>
    <xf numFmtId="0" fontId="29" fillId="44" borderId="17" xfId="0" applyFont="1" applyFill="1" applyBorder="1" applyAlignment="1" applyProtection="1">
      <alignment horizontal="center" vertical="center"/>
      <protection/>
    </xf>
    <xf numFmtId="0" fontId="30" fillId="0" borderId="21" xfId="0" applyFont="1" applyFill="1" applyBorder="1" applyAlignment="1" applyProtection="1">
      <alignment vertical="center"/>
      <protection/>
    </xf>
    <xf numFmtId="0" fontId="31" fillId="0" borderId="17" xfId="0" applyFont="1" applyFill="1" applyBorder="1" applyAlignment="1" applyProtection="1">
      <alignment horizontal="center" vertical="center"/>
      <protection locked="0"/>
    </xf>
    <xf numFmtId="166" fontId="32" fillId="38" borderId="22" xfId="0" applyNumberFormat="1" applyFont="1" applyFill="1" applyBorder="1" applyAlignment="1" applyProtection="1">
      <alignment horizontal="center" vertical="center"/>
      <protection/>
    </xf>
    <xf numFmtId="0" fontId="33" fillId="38" borderId="0" xfId="0" applyNumberFormat="1" applyFont="1" applyFill="1" applyBorder="1" applyAlignment="1" applyProtection="1">
      <alignment horizontal="center"/>
      <protection/>
    </xf>
    <xf numFmtId="166" fontId="34" fillId="0" borderId="1" xfId="0" applyNumberFormat="1" applyFont="1" applyFill="1" applyBorder="1" applyAlignment="1" applyProtection="1">
      <alignment horizontal="center"/>
      <protection/>
    </xf>
    <xf numFmtId="166" fontId="34" fillId="38" borderId="1" xfId="0" applyNumberFormat="1" applyFont="1" applyFill="1" applyBorder="1" applyAlignment="1" applyProtection="1">
      <alignment horizontal="center"/>
      <protection/>
    </xf>
    <xf numFmtId="0" fontId="35" fillId="38" borderId="23" xfId="0" applyFont="1" applyFill="1" applyBorder="1" applyAlignment="1" applyProtection="1">
      <alignment vertical="center"/>
      <protection/>
    </xf>
    <xf numFmtId="0" fontId="36" fillId="38" borderId="1" xfId="0" applyFont="1" applyFill="1" applyBorder="1" applyAlignment="1" applyProtection="1">
      <alignment horizontal="center" vertical="center"/>
      <protection/>
    </xf>
    <xf numFmtId="0" fontId="36" fillId="38" borderId="0" xfId="0" applyFont="1" applyFill="1" applyBorder="1" applyAlignment="1" applyProtection="1">
      <alignment horizontal="center" vertical="center"/>
      <protection/>
    </xf>
    <xf numFmtId="0" fontId="0" fillId="38" borderId="0" xfId="0" applyFill="1" applyBorder="1" applyAlignment="1" applyProtection="1">
      <alignment/>
      <protection/>
    </xf>
    <xf numFmtId="0" fontId="35" fillId="38" borderId="17" xfId="0" applyFont="1" applyFill="1" applyBorder="1" applyAlignment="1" applyProtection="1">
      <alignment vertical="center"/>
      <protection/>
    </xf>
    <xf numFmtId="0" fontId="36" fillId="38" borderId="17" xfId="0" applyFont="1" applyFill="1" applyBorder="1" applyAlignment="1" applyProtection="1">
      <alignment horizontal="center" vertical="center"/>
      <protection/>
    </xf>
    <xf numFmtId="0" fontId="36" fillId="0" borderId="0" xfId="0" applyFont="1" applyFill="1" applyBorder="1" applyAlignment="1" applyProtection="1">
      <alignment horizontal="center" vertical="center"/>
      <protection/>
    </xf>
    <xf numFmtId="9" fontId="37" fillId="45" borderId="14" xfId="0" applyNumberFormat="1" applyFont="1" applyFill="1" applyBorder="1" applyAlignment="1" applyProtection="1">
      <alignment horizontal="center" vertical="center" wrapText="1"/>
      <protection/>
    </xf>
    <xf numFmtId="0" fontId="38" fillId="38" borderId="0" xfId="0" applyFont="1" applyFill="1" applyBorder="1" applyAlignment="1" applyProtection="1">
      <alignment/>
      <protection/>
    </xf>
    <xf numFmtId="0" fontId="38" fillId="38" borderId="0" xfId="0" applyFont="1" applyFill="1" applyBorder="1" applyAlignment="1" applyProtection="1">
      <alignment horizontal="center"/>
      <protection/>
    </xf>
    <xf numFmtId="9" fontId="25" fillId="38" borderId="0" xfId="0" applyNumberFormat="1" applyFont="1" applyFill="1" applyBorder="1" applyAlignment="1" applyProtection="1">
      <alignment horizontal="center"/>
      <protection/>
    </xf>
    <xf numFmtId="0" fontId="38" fillId="0" borderId="0" xfId="0" applyFont="1" applyAlignment="1" applyProtection="1">
      <alignment/>
      <protection/>
    </xf>
    <xf numFmtId="0" fontId="39" fillId="0" borderId="0" xfId="0" applyFont="1" applyFill="1" applyBorder="1" applyAlignment="1" applyProtection="1">
      <alignment horizontal="center" vertical="center"/>
      <protection/>
    </xf>
    <xf numFmtId="1" fontId="35" fillId="45" borderId="17" xfId="0" applyNumberFormat="1" applyFont="1" applyFill="1" applyBorder="1" applyAlignment="1" applyProtection="1">
      <alignment vertical="center"/>
      <protection/>
    </xf>
    <xf numFmtId="1" fontId="36" fillId="45" borderId="17" xfId="0" applyNumberFormat="1" applyFont="1" applyFill="1" applyBorder="1" applyAlignment="1" applyProtection="1">
      <alignment horizontal="center" vertical="center"/>
      <protection/>
    </xf>
    <xf numFmtId="1" fontId="36" fillId="0" borderId="0" xfId="0" applyNumberFormat="1" applyFont="1" applyFill="1" applyBorder="1" applyAlignment="1" applyProtection="1">
      <alignment horizontal="center" vertical="center"/>
      <protection/>
    </xf>
    <xf numFmtId="1" fontId="0" fillId="0" borderId="0" xfId="0" applyNumberFormat="1" applyFill="1" applyBorder="1" applyAlignment="1" applyProtection="1">
      <alignment/>
      <protection/>
    </xf>
    <xf numFmtId="166" fontId="38" fillId="0" borderId="17" xfId="0" applyNumberFormat="1" applyFont="1" applyFill="1" applyBorder="1" applyAlignment="1" applyProtection="1">
      <alignment horizontal="right"/>
      <protection/>
    </xf>
    <xf numFmtId="9" fontId="36" fillId="0" borderId="17" xfId="0" applyNumberFormat="1" applyFont="1" applyFill="1" applyBorder="1" applyAlignment="1" applyProtection="1">
      <alignment horizontal="center"/>
      <protection/>
    </xf>
    <xf numFmtId="0" fontId="0" fillId="38" borderId="0" xfId="0" applyFill="1" applyBorder="1" applyAlignment="1" applyProtection="1">
      <alignment horizontal="center"/>
      <protection/>
    </xf>
    <xf numFmtId="0" fontId="0" fillId="0" borderId="0" xfId="0" applyFill="1" applyBorder="1" applyAlignment="1" applyProtection="1">
      <alignment horizontal="right"/>
      <protection/>
    </xf>
    <xf numFmtId="166" fontId="38" fillId="0" borderId="0" xfId="0" applyNumberFormat="1" applyFont="1" applyFill="1" applyBorder="1" applyAlignment="1" applyProtection="1">
      <alignment horizontal="right"/>
      <protection/>
    </xf>
    <xf numFmtId="9" fontId="36" fillId="0" borderId="0" xfId="0" applyNumberFormat="1" applyFont="1" applyFill="1" applyBorder="1" applyAlignment="1" applyProtection="1">
      <alignment horizontal="center"/>
      <protection/>
    </xf>
    <xf numFmtId="0" fontId="0" fillId="38" borderId="0" xfId="0" applyFont="1" applyFill="1" applyBorder="1" applyAlignment="1" applyProtection="1">
      <alignment horizontal="right"/>
      <protection/>
    </xf>
    <xf numFmtId="0" fontId="35" fillId="38" borderId="0" xfId="0" applyFont="1" applyFill="1" applyBorder="1" applyAlignment="1" applyProtection="1">
      <alignment vertical="center"/>
      <protection/>
    </xf>
    <xf numFmtId="9" fontId="37" fillId="38" borderId="0" xfId="0" applyNumberFormat="1" applyFont="1" applyFill="1" applyBorder="1" applyAlignment="1" applyProtection="1">
      <alignment vertical="center"/>
      <protection/>
    </xf>
    <xf numFmtId="9" fontId="0" fillId="38" borderId="0" xfId="0" applyNumberFormat="1" applyFill="1" applyBorder="1" applyAlignment="1" applyProtection="1">
      <alignment/>
      <protection/>
    </xf>
    <xf numFmtId="9" fontId="0" fillId="38" borderId="0" xfId="0" applyNumberFormat="1" applyFill="1" applyBorder="1" applyAlignment="1" applyProtection="1">
      <alignment horizontal="center"/>
      <protection/>
    </xf>
    <xf numFmtId="0" fontId="0" fillId="0" borderId="0" xfId="0" applyFill="1" applyBorder="1" applyAlignment="1" applyProtection="1">
      <alignment horizontal="center"/>
      <protection/>
    </xf>
    <xf numFmtId="0" fontId="0" fillId="0" borderId="0" xfId="0" applyFont="1" applyAlignment="1">
      <alignment horizontal="left" vertical="center" wrapText="1"/>
    </xf>
    <xf numFmtId="0" fontId="0" fillId="0" borderId="0" xfId="0" applyFont="1" applyAlignment="1">
      <alignment horizontal="left" vertical="top" wrapText="1"/>
    </xf>
    <xf numFmtId="0" fontId="40" fillId="0" borderId="0" xfId="0" applyFont="1" applyAlignment="1">
      <alignment horizontal="center" vertical="center" wrapText="1"/>
    </xf>
    <xf numFmtId="0" fontId="0" fillId="0" borderId="0" xfId="0" applyAlignment="1">
      <alignment horizontal="center"/>
    </xf>
    <xf numFmtId="165" fontId="40" fillId="0" borderId="0" xfId="0" applyNumberFormat="1" applyFont="1" applyFill="1" applyBorder="1" applyAlignment="1">
      <alignment horizontal="center" vertical="center"/>
    </xf>
    <xf numFmtId="0" fontId="41" fillId="46" borderId="1" xfId="0" applyFont="1" applyFill="1" applyBorder="1" applyAlignment="1" applyProtection="1">
      <alignment horizontal="center" vertical="center" wrapText="1"/>
      <protection locked="0"/>
    </xf>
    <xf numFmtId="0" fontId="40" fillId="0" borderId="0" xfId="0" applyFont="1" applyFill="1" applyBorder="1" applyAlignment="1">
      <alignment horizontal="center" vertical="top"/>
    </xf>
    <xf numFmtId="0" fontId="40" fillId="0" borderId="0" xfId="0" applyFont="1" applyFill="1" applyBorder="1" applyAlignment="1">
      <alignment horizontal="center" vertical="center"/>
    </xf>
    <xf numFmtId="0" fontId="40" fillId="0" borderId="0" xfId="0" applyFont="1" applyFill="1" applyAlignment="1">
      <alignment horizontal="center" vertical="top"/>
    </xf>
    <xf numFmtId="0" fontId="44" fillId="47" borderId="0" xfId="0" applyFont="1" applyFill="1" applyBorder="1" applyAlignment="1">
      <alignment horizontal="center" vertical="center"/>
    </xf>
    <xf numFmtId="0" fontId="45" fillId="47" borderId="0" xfId="0" applyFont="1" applyFill="1" applyBorder="1" applyAlignment="1">
      <alignment horizontal="center" vertical="center"/>
    </xf>
    <xf numFmtId="0" fontId="46" fillId="47" borderId="0" xfId="0" applyFont="1" applyFill="1" applyBorder="1" applyAlignment="1">
      <alignment horizontal="center" wrapText="1"/>
    </xf>
    <xf numFmtId="0" fontId="17" fillId="0" borderId="0" xfId="0" applyFont="1" applyAlignment="1">
      <alignment horizontal="center"/>
    </xf>
    <xf numFmtId="0" fontId="0" fillId="0" borderId="0" xfId="0" applyBorder="1" applyAlignment="1">
      <alignment horizontal="left" vertical="top" wrapText="1"/>
    </xf>
    <xf numFmtId="0" fontId="48" fillId="0" borderId="0" xfId="0" applyFont="1" applyBorder="1" applyAlignment="1">
      <alignment horizontal="center" vertical="center" wrapText="1"/>
    </xf>
    <xf numFmtId="0" fontId="0" fillId="0" borderId="0" xfId="0" applyFont="1" applyAlignment="1">
      <alignment horizontal="center"/>
    </xf>
    <xf numFmtId="0" fontId="17" fillId="0" borderId="0" xfId="0" applyFont="1" applyAlignment="1">
      <alignment/>
    </xf>
    <xf numFmtId="10" fontId="17" fillId="0" borderId="0" xfId="0" applyNumberFormat="1" applyFont="1" applyAlignment="1">
      <alignment horizontal="center"/>
    </xf>
    <xf numFmtId="10" fontId="17" fillId="0" borderId="0" xfId="0" applyNumberFormat="1" applyFont="1" applyAlignment="1">
      <alignment/>
    </xf>
    <xf numFmtId="0" fontId="0" fillId="0" borderId="0" xfId="0" applyFill="1" applyAlignment="1">
      <alignment/>
    </xf>
    <xf numFmtId="0" fontId="0" fillId="0" borderId="0" xfId="0" applyFont="1" applyFill="1" applyAlignment="1">
      <alignment horizontal="center"/>
    </xf>
    <xf numFmtId="0" fontId="0" fillId="0" borderId="0" xfId="0" applyFill="1" applyAlignment="1">
      <alignment horizontal="center"/>
    </xf>
    <xf numFmtId="0" fontId="0" fillId="0" borderId="0" xfId="0" applyFont="1" applyFill="1" applyAlignment="1">
      <alignment/>
    </xf>
    <xf numFmtId="0" fontId="0" fillId="0" borderId="0" xfId="54" applyNumberFormat="1" applyFont="1" applyFill="1" applyBorder="1" applyProtection="1">
      <alignment horizontal="center"/>
      <protection/>
    </xf>
    <xf numFmtId="0" fontId="45" fillId="0" borderId="0" xfId="0" applyFont="1" applyFill="1" applyBorder="1" applyAlignment="1">
      <alignment horizontal="right" vertical="center"/>
    </xf>
    <xf numFmtId="9" fontId="44" fillId="0" borderId="0" xfId="0" applyNumberFormat="1" applyFont="1" applyFill="1" applyBorder="1" applyAlignment="1">
      <alignment horizontal="center" vertical="center"/>
    </xf>
    <xf numFmtId="0" fontId="17" fillId="0" borderId="0" xfId="0" applyFont="1" applyFill="1" applyAlignment="1">
      <alignment/>
    </xf>
    <xf numFmtId="0" fontId="29" fillId="43" borderId="17" xfId="0" applyFont="1" applyFill="1" applyBorder="1" applyAlignment="1" applyProtection="1">
      <alignment horizontal="center" vertical="center"/>
      <protection/>
    </xf>
    <xf numFmtId="0" fontId="29" fillId="43" borderId="14" xfId="0" applyFont="1" applyFill="1" applyBorder="1" applyAlignment="1" applyProtection="1">
      <alignment horizontal="center" vertical="center"/>
      <protection/>
    </xf>
    <xf numFmtId="166" fontId="24" fillId="0" borderId="1" xfId="0" applyNumberFormat="1" applyFont="1" applyFill="1" applyBorder="1" applyAlignment="1">
      <alignment horizontal="center"/>
    </xf>
    <xf numFmtId="0" fontId="12" fillId="0" borderId="0" xfId="0" applyFont="1" applyFill="1" applyBorder="1" applyAlignment="1">
      <alignment horizontal="center" vertical="center"/>
    </xf>
    <xf numFmtId="0" fontId="50" fillId="0" borderId="0" xfId="0" applyFont="1" applyFill="1" applyBorder="1" applyAlignment="1">
      <alignment horizontal="center" vertical="center" wrapText="1"/>
    </xf>
    <xf numFmtId="0" fontId="51" fillId="0" borderId="0" xfId="0" applyFont="1" applyFill="1" applyAlignment="1">
      <alignment horizontal="center" wrapText="1"/>
    </xf>
    <xf numFmtId="0" fontId="51" fillId="0" borderId="0" xfId="0" applyFont="1" applyFill="1" applyBorder="1" applyAlignment="1">
      <alignment horizontal="center" vertical="center" wrapText="1"/>
    </xf>
    <xf numFmtId="0" fontId="51" fillId="0" borderId="0" xfId="0" applyFont="1" applyFill="1" applyAlignment="1">
      <alignment wrapText="1"/>
    </xf>
    <xf numFmtId="0" fontId="46" fillId="0" borderId="0" xfId="0" applyFont="1" applyFill="1" applyAlignment="1">
      <alignment horizontal="center" vertical="center" textRotation="90"/>
    </xf>
    <xf numFmtId="0" fontId="43" fillId="0" borderId="0" xfId="0" applyFont="1" applyFill="1" applyAlignment="1">
      <alignment horizontal="center" vertical="center" wrapText="1"/>
    </xf>
    <xf numFmtId="0" fontId="52" fillId="0" borderId="0" xfId="0" applyFont="1" applyFill="1" applyBorder="1" applyAlignment="1">
      <alignment horizontal="center" vertical="center" textRotation="90"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textRotation="90" wrapText="1"/>
    </xf>
    <xf numFmtId="1" fontId="12" fillId="0" borderId="0" xfId="0" applyNumberFormat="1" applyFont="1" applyFill="1" applyBorder="1" applyAlignment="1" applyProtection="1">
      <alignment horizontal="center" vertical="center"/>
      <protection hidden="1"/>
    </xf>
    <xf numFmtId="0" fontId="12" fillId="0" borderId="0" xfId="0" applyFont="1" applyFill="1" applyAlignment="1">
      <alignment horizontal="center"/>
    </xf>
    <xf numFmtId="1" fontId="24" fillId="0" borderId="0" xfId="0" applyNumberFormat="1" applyFont="1" applyFill="1" applyBorder="1" applyAlignment="1" applyProtection="1">
      <alignment horizontal="center" vertical="center"/>
      <protection hidden="1"/>
    </xf>
    <xf numFmtId="0" fontId="12" fillId="0" borderId="0" xfId="0" applyFont="1" applyFill="1" applyAlignment="1">
      <alignment/>
    </xf>
    <xf numFmtId="0" fontId="0" fillId="0" borderId="24" xfId="0" applyFill="1" applyBorder="1" applyAlignment="1">
      <alignment/>
    </xf>
    <xf numFmtId="0" fontId="0" fillId="0" borderId="25" xfId="0" applyFill="1" applyBorder="1" applyAlignment="1">
      <alignment/>
    </xf>
    <xf numFmtId="0" fontId="0" fillId="0" borderId="25" xfId="0" applyFill="1" applyBorder="1" applyAlignment="1">
      <alignment horizontal="right"/>
    </xf>
    <xf numFmtId="0" fontId="0" fillId="0" borderId="26" xfId="0" applyFont="1" applyFill="1" applyBorder="1" applyAlignment="1">
      <alignment horizontal="right"/>
    </xf>
    <xf numFmtId="0" fontId="55" fillId="0" borderId="0" xfId="0" applyFont="1" applyFill="1" applyAlignment="1">
      <alignment horizontal="center"/>
    </xf>
    <xf numFmtId="0" fontId="17" fillId="0" borderId="0" xfId="0" applyFont="1" applyFill="1" applyAlignment="1">
      <alignment horizontal="center"/>
    </xf>
    <xf numFmtId="0" fontId="48" fillId="0" borderId="0" xfId="0" applyFont="1" applyFill="1" applyAlignment="1">
      <alignment horizontal="center"/>
    </xf>
    <xf numFmtId="0" fontId="56" fillId="0" borderId="0" xfId="0" applyFont="1" applyAlignment="1">
      <alignment/>
    </xf>
    <xf numFmtId="0" fontId="16" fillId="0" borderId="0" xfId="0" applyFont="1" applyAlignment="1">
      <alignment/>
    </xf>
    <xf numFmtId="0" fontId="56" fillId="0" borderId="0" xfId="0" applyFont="1" applyAlignment="1">
      <alignment wrapText="1"/>
    </xf>
    <xf numFmtId="0" fontId="57" fillId="0" borderId="0" xfId="0" applyFont="1" applyBorder="1" applyAlignment="1" applyProtection="1">
      <alignment vertical="center" wrapText="1"/>
      <protection locked="0"/>
    </xf>
    <xf numFmtId="0" fontId="0" fillId="0" borderId="0" xfId="0" applyFont="1" applyFill="1" applyAlignment="1">
      <alignment horizontal="right" vertical="center" wrapText="1"/>
    </xf>
    <xf numFmtId="0" fontId="48" fillId="0" borderId="0" xfId="0" applyFont="1" applyFill="1" applyAlignment="1">
      <alignment horizontal="left" vertical="center" wrapText="1"/>
    </xf>
    <xf numFmtId="0" fontId="16" fillId="0" borderId="0" xfId="0" applyFont="1" applyFill="1" applyAlignment="1">
      <alignment/>
    </xf>
    <xf numFmtId="0" fontId="0" fillId="0" borderId="0" xfId="0" applyFont="1" applyFill="1" applyAlignment="1">
      <alignment vertical="center" wrapText="1"/>
    </xf>
    <xf numFmtId="0" fontId="59" fillId="0" borderId="0" xfId="0" applyFont="1" applyFill="1" applyAlignment="1">
      <alignment horizontal="center" vertical="center" wrapText="1"/>
    </xf>
    <xf numFmtId="0" fontId="44" fillId="0" borderId="0" xfId="0" applyFont="1" applyAlignment="1">
      <alignment horizontal="center"/>
    </xf>
    <xf numFmtId="0" fontId="0" fillId="48" borderId="1" xfId="0" applyFill="1" applyBorder="1" applyAlignment="1">
      <alignment/>
    </xf>
    <xf numFmtId="0" fontId="0" fillId="48" borderId="1" xfId="0" applyFill="1" applyBorder="1" applyAlignment="1">
      <alignment horizontal="center"/>
    </xf>
    <xf numFmtId="0" fontId="0" fillId="48" borderId="1" xfId="0" applyFont="1" applyFill="1" applyBorder="1" applyAlignment="1">
      <alignment/>
    </xf>
    <xf numFmtId="0" fontId="47" fillId="47" borderId="0" xfId="0" applyFont="1" applyFill="1" applyBorder="1" applyAlignment="1">
      <alignment horizontal="center" vertical="center" textRotation="90" wrapText="1"/>
    </xf>
    <xf numFmtId="0" fontId="11" fillId="38" borderId="0" xfId="56" applyFont="1" applyFill="1" applyBorder="1" applyAlignment="1" applyProtection="1">
      <alignment horizontal="center"/>
      <protection/>
    </xf>
    <xf numFmtId="0" fontId="12" fillId="0" borderId="0" xfId="0" applyFont="1" applyBorder="1" applyAlignment="1" applyProtection="1">
      <alignment horizontal="left" vertical="center" wrapText="1"/>
      <protection locked="0"/>
    </xf>
    <xf numFmtId="0" fontId="4" fillId="38" borderId="0" xfId="56" applyFill="1" applyBorder="1" applyProtection="1">
      <alignment/>
      <protection/>
    </xf>
    <xf numFmtId="166" fontId="34" fillId="38" borderId="0" xfId="0" applyNumberFormat="1" applyFont="1" applyFill="1" applyBorder="1" applyAlignment="1" applyProtection="1">
      <alignment horizontal="center"/>
      <protection/>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48" fillId="0" borderId="29" xfId="0" applyFont="1" applyBorder="1" applyAlignment="1">
      <alignment horizontal="center" vertical="center" wrapText="1"/>
    </xf>
    <xf numFmtId="0" fontId="31" fillId="0" borderId="30" xfId="0" applyFont="1" applyFill="1" applyBorder="1" applyAlignment="1" applyProtection="1">
      <alignment horizontal="center" vertical="center"/>
      <protection locked="0"/>
    </xf>
    <xf numFmtId="0" fontId="63" fillId="47" borderId="0" xfId="0" applyFont="1" applyFill="1" applyBorder="1" applyAlignment="1">
      <alignment horizontal="center" vertical="center"/>
    </xf>
    <xf numFmtId="166" fontId="32" fillId="38" borderId="30" xfId="0" applyNumberFormat="1" applyFont="1" applyFill="1" applyBorder="1" applyAlignment="1" applyProtection="1">
      <alignment horizontal="center" vertical="center"/>
      <protection/>
    </xf>
    <xf numFmtId="166" fontId="32" fillId="38" borderId="28" xfId="0" applyNumberFormat="1" applyFont="1" applyFill="1" applyBorder="1" applyAlignment="1" applyProtection="1">
      <alignment horizontal="center" vertical="center"/>
      <protection/>
    </xf>
    <xf numFmtId="9" fontId="18" fillId="0" borderId="14" xfId="0" applyNumberFormat="1" applyFont="1" applyFill="1" applyBorder="1" applyAlignment="1" applyProtection="1">
      <alignment horizontal="center" vertical="center"/>
      <protection hidden="1"/>
    </xf>
    <xf numFmtId="9" fontId="18" fillId="0" borderId="30" xfId="0" applyNumberFormat="1" applyFont="1" applyFill="1" applyBorder="1" applyAlignment="1" applyProtection="1">
      <alignment horizontal="center" vertical="center"/>
      <protection hidden="1"/>
    </xf>
    <xf numFmtId="0" fontId="107" fillId="0" borderId="0" xfId="0" applyFont="1" applyFill="1" applyAlignment="1">
      <alignment/>
    </xf>
    <xf numFmtId="0" fontId="108" fillId="0" borderId="0" xfId="0" applyFont="1" applyFill="1" applyAlignment="1">
      <alignment horizontal="center"/>
    </xf>
    <xf numFmtId="0" fontId="109" fillId="0" borderId="0" xfId="0" applyFont="1" applyFill="1" applyBorder="1" applyAlignment="1">
      <alignment horizontal="center" vertical="center" wrapText="1"/>
    </xf>
    <xf numFmtId="0" fontId="109" fillId="0" borderId="0" xfId="0" applyFont="1" applyFill="1" applyAlignment="1">
      <alignment wrapText="1"/>
    </xf>
    <xf numFmtId="0" fontId="110" fillId="0" borderId="0" xfId="0" applyFont="1" applyFill="1" applyBorder="1" applyAlignment="1">
      <alignment horizontal="center" vertical="center" textRotation="90" wrapText="1"/>
    </xf>
    <xf numFmtId="0" fontId="110" fillId="0" borderId="0" xfId="0" applyFont="1" applyFill="1" applyAlignment="1">
      <alignment horizontal="center" vertical="center"/>
    </xf>
    <xf numFmtId="1" fontId="111" fillId="0" borderId="0" xfId="0" applyNumberFormat="1" applyFont="1" applyFill="1" applyBorder="1" applyAlignment="1" applyProtection="1">
      <alignment horizontal="center" vertical="center"/>
      <protection hidden="1"/>
    </xf>
    <xf numFmtId="0" fontId="111" fillId="0" borderId="0" xfId="0" applyFont="1" applyFill="1" applyAlignment="1">
      <alignment/>
    </xf>
    <xf numFmtId="10" fontId="112" fillId="0" borderId="0" xfId="0" applyNumberFormat="1" applyFont="1" applyFill="1" applyAlignment="1">
      <alignment/>
    </xf>
    <xf numFmtId="0" fontId="107" fillId="0" borderId="0" xfId="0" applyFont="1" applyFill="1" applyAlignment="1">
      <alignment horizontal="center"/>
    </xf>
    <xf numFmtId="10" fontId="113" fillId="0" borderId="0" xfId="0" applyNumberFormat="1" applyFont="1" applyFill="1" applyAlignment="1">
      <alignment/>
    </xf>
    <xf numFmtId="0" fontId="7" fillId="38" borderId="0" xfId="56" applyFont="1" applyFill="1" applyBorder="1" applyAlignment="1" applyProtection="1">
      <alignment horizontal="center"/>
      <protection/>
    </xf>
    <xf numFmtId="0" fontId="15" fillId="38" borderId="0" xfId="56" applyFont="1" applyFill="1" applyBorder="1" applyAlignment="1" applyProtection="1">
      <alignment horizontal="center"/>
      <protection/>
    </xf>
    <xf numFmtId="0" fontId="0" fillId="41" borderId="1" xfId="56" applyFont="1" applyFill="1" applyBorder="1" applyAlignment="1" applyProtection="1">
      <alignment horizontal="left" vertical="center" wrapText="1"/>
      <protection/>
    </xf>
    <xf numFmtId="0" fontId="26" fillId="38" borderId="1" xfId="0" applyFont="1" applyFill="1" applyBorder="1" applyAlignment="1" applyProtection="1">
      <alignment horizontal="center" vertical="center" wrapText="1"/>
      <protection/>
    </xf>
    <xf numFmtId="0" fontId="19" fillId="43" borderId="31" xfId="0" applyFont="1" applyFill="1" applyBorder="1" applyAlignment="1" applyProtection="1">
      <alignment horizontal="center" vertical="center" wrapText="1"/>
      <protection/>
    </xf>
    <xf numFmtId="0" fontId="19" fillId="43" borderId="32" xfId="0" applyFont="1" applyFill="1" applyBorder="1" applyAlignment="1" applyProtection="1">
      <alignment horizontal="center" vertical="center" wrapText="1"/>
      <protection/>
    </xf>
    <xf numFmtId="0" fontId="19" fillId="43" borderId="33" xfId="0" applyFont="1" applyFill="1" applyBorder="1" applyAlignment="1" applyProtection="1">
      <alignment horizontal="center" vertical="center" wrapText="1"/>
      <protection/>
    </xf>
    <xf numFmtId="0" fontId="19" fillId="43" borderId="34" xfId="0" applyFont="1" applyFill="1" applyBorder="1" applyAlignment="1" applyProtection="1">
      <alignment horizontal="center" vertical="center" wrapText="1"/>
      <protection/>
    </xf>
    <xf numFmtId="0" fontId="19" fillId="43" borderId="35" xfId="0" applyFont="1" applyFill="1" applyBorder="1" applyAlignment="1" applyProtection="1">
      <alignment horizontal="center" vertical="center" wrapText="1"/>
      <protection/>
    </xf>
    <xf numFmtId="0" fontId="19" fillId="43" borderId="36" xfId="0" applyFont="1" applyFill="1" applyBorder="1" applyAlignment="1" applyProtection="1">
      <alignment horizontal="center" vertical="center" wrapText="1"/>
      <protection/>
    </xf>
    <xf numFmtId="0" fontId="19" fillId="44" borderId="37" xfId="0" applyFont="1" applyFill="1" applyBorder="1" applyAlignment="1" applyProtection="1">
      <alignment horizontal="center" vertical="center" wrapText="1"/>
      <protection/>
    </xf>
    <xf numFmtId="0" fontId="19" fillId="44" borderId="35" xfId="0" applyFont="1" applyFill="1" applyBorder="1" applyAlignment="1" applyProtection="1">
      <alignment horizontal="center" vertical="center" wrapText="1"/>
      <protection/>
    </xf>
    <xf numFmtId="0" fontId="19" fillId="44" borderId="36" xfId="0" applyFont="1" applyFill="1" applyBorder="1" applyAlignment="1" applyProtection="1">
      <alignment horizontal="center" vertical="center" wrapText="1"/>
      <protection/>
    </xf>
    <xf numFmtId="0" fontId="19" fillId="43" borderId="37" xfId="0" applyFont="1" applyFill="1" applyBorder="1" applyAlignment="1" applyProtection="1">
      <alignment horizontal="center" vertical="center" wrapText="1"/>
      <protection/>
    </xf>
    <xf numFmtId="165" fontId="18" fillId="38" borderId="0" xfId="0" applyNumberFormat="1" applyFont="1" applyFill="1" applyBorder="1" applyAlignment="1" applyProtection="1">
      <alignment horizontal="left"/>
      <protection/>
    </xf>
    <xf numFmtId="0" fontId="24" fillId="0" borderId="0" xfId="0" applyFont="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3" fillId="38" borderId="0" xfId="0" applyFont="1" applyFill="1" applyBorder="1" applyAlignment="1" applyProtection="1">
      <alignment textRotation="90" wrapText="1"/>
      <protection/>
    </xf>
    <xf numFmtId="0" fontId="19" fillId="44" borderId="31" xfId="0" applyFont="1" applyFill="1" applyBorder="1" applyAlignment="1" applyProtection="1">
      <alignment horizontal="center" vertical="center" wrapText="1"/>
      <protection/>
    </xf>
    <xf numFmtId="0" fontId="19" fillId="44" borderId="32" xfId="0" applyFont="1" applyFill="1" applyBorder="1" applyAlignment="1" applyProtection="1">
      <alignment horizontal="center" vertical="center" wrapText="1"/>
      <protection/>
    </xf>
    <xf numFmtId="0" fontId="19" fillId="44" borderId="33" xfId="0" applyFont="1" applyFill="1" applyBorder="1" applyAlignment="1" applyProtection="1">
      <alignment horizontal="center" vertical="center" wrapText="1"/>
      <protection/>
    </xf>
    <xf numFmtId="0" fontId="44" fillId="47" borderId="0" xfId="0" applyFont="1" applyFill="1" applyBorder="1" applyAlignment="1">
      <alignment horizontal="center" vertical="center" textRotation="90" wrapText="1"/>
    </xf>
    <xf numFmtId="0" fontId="53" fillId="0" borderId="17" xfId="0" applyFont="1" applyBorder="1" applyAlignment="1">
      <alignment horizontal="left" vertical="top" wrapText="1"/>
    </xf>
    <xf numFmtId="0" fontId="53" fillId="0" borderId="38" xfId="0" applyFont="1" applyBorder="1" applyAlignment="1">
      <alignment horizontal="left" vertical="top" wrapText="1"/>
    </xf>
    <xf numFmtId="166" fontId="40" fillId="0" borderId="28" xfId="0" applyNumberFormat="1" applyFont="1" applyBorder="1" applyAlignment="1">
      <alignment horizontal="center" vertical="center"/>
    </xf>
    <xf numFmtId="0" fontId="47" fillId="47" borderId="0" xfId="0" applyFont="1" applyFill="1" applyBorder="1" applyAlignment="1">
      <alignment horizontal="center" vertical="center" textRotation="90" wrapText="1"/>
    </xf>
    <xf numFmtId="0" fontId="53" fillId="0" borderId="27" xfId="0" applyFont="1" applyBorder="1" applyAlignment="1">
      <alignment horizontal="left" vertical="top" wrapText="1"/>
    </xf>
    <xf numFmtId="0" fontId="53" fillId="0" borderId="28" xfId="0" applyFont="1" applyBorder="1" applyAlignment="1">
      <alignment horizontal="left" vertical="top" wrapText="1"/>
    </xf>
    <xf numFmtId="0" fontId="47" fillId="47" borderId="0" xfId="0" applyFont="1" applyFill="1" applyBorder="1" applyAlignment="1">
      <alignment horizontal="center" vertical="center" textRotation="90"/>
    </xf>
    <xf numFmtId="0" fontId="42" fillId="0" borderId="0" xfId="0" applyFont="1" applyBorder="1" applyAlignment="1">
      <alignment horizontal="center" vertical="center"/>
    </xf>
    <xf numFmtId="0" fontId="43" fillId="0" borderId="0" xfId="0" applyFont="1" applyFill="1" applyBorder="1" applyAlignment="1">
      <alignment horizontal="center" vertical="center" wrapText="1"/>
    </xf>
    <xf numFmtId="165" fontId="42" fillId="0" borderId="0" xfId="0" applyNumberFormat="1" applyFont="1" applyBorder="1" applyAlignment="1">
      <alignment horizontal="center" vertical="center"/>
    </xf>
    <xf numFmtId="0" fontId="45" fillId="47" borderId="0" xfId="0" applyFont="1" applyFill="1" applyBorder="1" applyAlignment="1">
      <alignment horizontal="center" vertical="center"/>
    </xf>
    <xf numFmtId="0" fontId="31" fillId="0" borderId="30" xfId="0" applyFont="1" applyFill="1" applyBorder="1" applyAlignment="1" applyProtection="1">
      <alignment horizontal="center" vertical="center"/>
      <protection locked="0"/>
    </xf>
    <xf numFmtId="0" fontId="48" fillId="0" borderId="39" xfId="0" applyFont="1" applyBorder="1" applyAlignment="1">
      <alignment horizontal="center" vertical="center" wrapText="1"/>
    </xf>
    <xf numFmtId="0" fontId="48" fillId="0" borderId="40" xfId="0" applyFont="1" applyBorder="1" applyAlignment="1">
      <alignment horizontal="center" vertical="center" wrapText="1"/>
    </xf>
    <xf numFmtId="0" fontId="41" fillId="0" borderId="15" xfId="0" applyFont="1" applyFill="1" applyBorder="1" applyAlignment="1" applyProtection="1">
      <alignment horizontal="center" vertical="center" wrapText="1"/>
      <protection locked="0"/>
    </xf>
    <xf numFmtId="0" fontId="41" fillId="0" borderId="0" xfId="0" applyFont="1" applyFill="1" applyBorder="1" applyAlignment="1" applyProtection="1">
      <alignment horizontal="center" vertical="center" wrapText="1"/>
      <protection locked="0"/>
    </xf>
    <xf numFmtId="9" fontId="18" fillId="0" borderId="30" xfId="0" applyNumberFormat="1" applyFont="1" applyFill="1" applyBorder="1" applyAlignment="1" applyProtection="1">
      <alignment horizontal="center" vertical="center"/>
      <protection hidden="1"/>
    </xf>
    <xf numFmtId="0" fontId="19" fillId="49" borderId="41" xfId="0" applyFont="1" applyFill="1" applyBorder="1" applyAlignment="1">
      <alignment horizontal="center" vertical="center" wrapText="1"/>
    </xf>
    <xf numFmtId="0" fontId="19" fillId="49" borderId="42" xfId="0" applyFont="1" applyFill="1" applyBorder="1" applyAlignment="1">
      <alignment horizontal="center" vertical="center" wrapText="1"/>
    </xf>
    <xf numFmtId="0" fontId="19" fillId="49" borderId="43" xfId="0" applyFont="1" applyFill="1" applyBorder="1" applyAlignment="1">
      <alignment horizontal="center" vertical="center" wrapText="1"/>
    </xf>
    <xf numFmtId="0" fontId="19" fillId="50" borderId="41" xfId="0" applyFont="1" applyFill="1" applyBorder="1" applyAlignment="1">
      <alignment horizontal="center" vertical="center" wrapText="1"/>
    </xf>
    <xf numFmtId="0" fontId="19" fillId="50" borderId="43" xfId="0" applyFont="1" applyFill="1" applyBorder="1" applyAlignment="1">
      <alignment horizontal="center" vertical="center" wrapText="1"/>
    </xf>
    <xf numFmtId="166" fontId="54" fillId="0" borderId="1" xfId="0" applyNumberFormat="1" applyFont="1" applyBorder="1" applyAlignment="1" applyProtection="1">
      <alignment horizontal="center" vertical="center"/>
      <protection hidden="1"/>
    </xf>
    <xf numFmtId="0" fontId="53" fillId="0" borderId="1" xfId="0" applyFont="1" applyFill="1" applyBorder="1" applyAlignment="1">
      <alignment horizontal="center" vertical="center"/>
    </xf>
    <xf numFmtId="166" fontId="11" fillId="51" borderId="1" xfId="0" applyNumberFormat="1" applyFont="1" applyFill="1" applyBorder="1" applyAlignment="1" applyProtection="1">
      <alignment horizontal="center" vertical="center" wrapText="1"/>
      <protection hidden="1"/>
    </xf>
    <xf numFmtId="9" fontId="11" fillId="52" borderId="1" xfId="0" applyNumberFormat="1" applyFont="1" applyFill="1" applyBorder="1" applyAlignment="1" applyProtection="1">
      <alignment horizontal="center" vertical="center" wrapText="1"/>
      <protection hidden="1"/>
    </xf>
    <xf numFmtId="166" fontId="11" fillId="53" borderId="1" xfId="0" applyNumberFormat="1" applyFont="1" applyFill="1" applyBorder="1" applyAlignment="1" applyProtection="1">
      <alignment horizontal="center" vertical="center" wrapText="1"/>
      <protection hidden="1"/>
    </xf>
    <xf numFmtId="9" fontId="11" fillId="37" borderId="1" xfId="0" applyNumberFormat="1" applyFont="1" applyFill="1" applyBorder="1" applyAlignment="1" applyProtection="1">
      <alignment horizontal="center" vertical="center" wrapText="1"/>
      <protection hidden="1"/>
    </xf>
    <xf numFmtId="1" fontId="54" fillId="0" borderId="1" xfId="0" applyNumberFormat="1" applyFont="1" applyBorder="1" applyAlignment="1" applyProtection="1">
      <alignment horizontal="center" vertical="center"/>
      <protection hidden="1"/>
    </xf>
    <xf numFmtId="0" fontId="51" fillId="0" borderId="0" xfId="0" applyFont="1" applyFill="1" applyBorder="1" applyAlignment="1">
      <alignment horizontal="center" vertical="center" wrapText="1"/>
    </xf>
    <xf numFmtId="0" fontId="40" fillId="0" borderId="0" xfId="0" applyFont="1" applyFill="1" applyBorder="1" applyAlignment="1">
      <alignment horizontal="center" vertical="center" textRotation="90" wrapText="1"/>
    </xf>
    <xf numFmtId="1" fontId="53" fillId="0" borderId="1" xfId="0" applyNumberFormat="1" applyFont="1" applyFill="1" applyBorder="1" applyAlignment="1" applyProtection="1">
      <alignment horizontal="center" vertical="center"/>
      <protection hidden="1"/>
    </xf>
    <xf numFmtId="166" fontId="0" fillId="51" borderId="1" xfId="0" applyNumberFormat="1" applyFont="1" applyFill="1" applyBorder="1" applyAlignment="1" applyProtection="1">
      <alignment horizontal="center" vertical="center" wrapText="1"/>
      <protection hidden="1"/>
    </xf>
    <xf numFmtId="9" fontId="0" fillId="52" borderId="1" xfId="0" applyNumberFormat="1" applyFont="1" applyFill="1" applyBorder="1" applyAlignment="1" applyProtection="1">
      <alignment horizontal="center" vertical="center" wrapText="1"/>
      <protection hidden="1"/>
    </xf>
    <xf numFmtId="166" fontId="0" fillId="53" borderId="1" xfId="0" applyNumberFormat="1" applyFont="1" applyFill="1" applyBorder="1" applyAlignment="1" applyProtection="1">
      <alignment horizontal="center" vertical="center" wrapText="1"/>
      <protection hidden="1"/>
    </xf>
    <xf numFmtId="9" fontId="0" fillId="37" borderId="1" xfId="0" applyNumberFormat="1" applyFont="1" applyFill="1" applyBorder="1" applyAlignment="1" applyProtection="1">
      <alignment horizontal="center" vertical="center" wrapText="1"/>
      <protection hidden="1"/>
    </xf>
    <xf numFmtId="0" fontId="6" fillId="39" borderId="0" xfId="0" applyFont="1" applyFill="1" applyAlignment="1" applyProtection="1">
      <alignment horizontal="center"/>
      <protection locked="0"/>
    </xf>
    <xf numFmtId="0" fontId="49" fillId="0" borderId="0" xfId="0" applyFont="1" applyFill="1" applyBorder="1" applyAlignment="1">
      <alignment/>
    </xf>
    <xf numFmtId="0" fontId="49" fillId="0" borderId="0" xfId="0" applyFont="1" applyFill="1" applyBorder="1" applyAlignment="1">
      <alignment horizontal="center"/>
    </xf>
    <xf numFmtId="0" fontId="19" fillId="50" borderId="42" xfId="0" applyFont="1" applyFill="1" applyBorder="1" applyAlignment="1">
      <alignment horizontal="center" vertical="center" wrapText="1"/>
    </xf>
    <xf numFmtId="0" fontId="0" fillId="0" borderId="0" xfId="0" applyFont="1" applyFill="1" applyBorder="1" applyAlignment="1">
      <alignment horizontal="center" wrapText="1"/>
    </xf>
    <xf numFmtId="0" fontId="57" fillId="0" borderId="0" xfId="0" applyFont="1" applyBorder="1" applyAlignment="1" applyProtection="1">
      <alignment horizontal="center" wrapText="1"/>
      <protection locked="0"/>
    </xf>
    <xf numFmtId="0" fontId="57" fillId="0" borderId="0" xfId="0" applyFont="1" applyBorder="1" applyAlignment="1" applyProtection="1">
      <alignment vertical="center" wrapText="1"/>
      <protection locked="0"/>
    </xf>
    <xf numFmtId="0" fontId="0" fillId="41" borderId="1" xfId="0" applyFont="1" applyFill="1" applyBorder="1" applyAlignment="1" applyProtection="1">
      <alignment horizontal="center" vertical="center"/>
      <protection locked="0"/>
    </xf>
    <xf numFmtId="0" fontId="58" fillId="0" borderId="0" xfId="48" applyNumberFormat="1" applyFont="1" applyFill="1" applyBorder="1" applyAlignment="1" applyProtection="1">
      <alignment horizontal="center"/>
      <protection/>
    </xf>
    <xf numFmtId="0" fontId="56" fillId="0" borderId="0" xfId="0" applyFont="1" applyBorder="1" applyAlignment="1">
      <alignment horizontal="left" vertical="center" wrapText="1"/>
    </xf>
    <xf numFmtId="0" fontId="58" fillId="54" borderId="1" xfId="48" applyFill="1" applyBorder="1" applyAlignment="1" applyProtection="1">
      <alignment horizontal="center" vertical="center"/>
      <protection locked="0"/>
    </xf>
  </cellXfs>
  <cellStyles count="56">
    <cellStyle name="Normal" xfId="0"/>
    <cellStyle name="_rouge" xfId="15"/>
    <cellStyle name="20 % - Accent1" xfId="16"/>
    <cellStyle name="20 % - Accent2" xfId="17"/>
    <cellStyle name="20 % - Accent3" xfId="18"/>
    <cellStyle name="20 % - Accent4" xfId="19"/>
    <cellStyle name="20 % - Accent5" xfId="20"/>
    <cellStyle name="20 % - Accent6" xfId="21"/>
    <cellStyle name="40 % - Accent1" xfId="22"/>
    <cellStyle name="40 % - Accent2" xfId="23"/>
    <cellStyle name="40 % - Accent3" xfId="24"/>
    <cellStyle name="40 % - Accent4" xfId="25"/>
    <cellStyle name="40 % - Accent5" xfId="26"/>
    <cellStyle name="40 % - Accent6" xfId="27"/>
    <cellStyle name="60 % - Accent1" xfId="28"/>
    <cellStyle name="60 % - Accent2" xfId="29"/>
    <cellStyle name="60 % - Accent3" xfId="30"/>
    <cellStyle name="60 % - Accent4" xfId="31"/>
    <cellStyle name="60 % - Accent5" xfId="32"/>
    <cellStyle name="60 % - Accent6" xfId="33"/>
    <cellStyle name="Accent1" xfId="34"/>
    <cellStyle name="Accent2" xfId="35"/>
    <cellStyle name="Accent3" xfId="36"/>
    <cellStyle name="Accent4" xfId="37"/>
    <cellStyle name="Accent5" xfId="38"/>
    <cellStyle name="Accent6" xfId="39"/>
    <cellStyle name="Avertissement" xfId="40"/>
    <cellStyle name="blanc" xfId="41"/>
    <cellStyle name="Bon" xfId="42"/>
    <cellStyle name="Calcul" xfId="43"/>
    <cellStyle name="Cellule liée" xfId="44"/>
    <cellStyle name="Entrée" xfId="45"/>
    <cellStyle name="Insatisfaisant" xfId="46"/>
    <cellStyle name="Jaune2" xfId="47"/>
    <cellStyle name="Hyperlink" xfId="48"/>
    <cellStyle name="Followed Hyperlink" xfId="49"/>
    <cellStyle name="Comma" xfId="50"/>
    <cellStyle name="Comma [0]" xfId="51"/>
    <cellStyle name="Currency" xfId="52"/>
    <cellStyle name="Currency [0]" xfId="53"/>
    <cellStyle name="Neuf_bleu" xfId="54"/>
    <cellStyle name="Neutre" xfId="55"/>
    <cellStyle name="Normal_Eval CE1 - Epreuve '1' (Vide) 05_06" xfId="56"/>
    <cellStyle name="Percent" xfId="57"/>
    <cellStyle name="Remarque" xfId="58"/>
    <cellStyle name="Rouge9" xfId="59"/>
    <cellStyle name="Sortie" xfId="60"/>
    <cellStyle name="Texte explicatif" xfId="61"/>
    <cellStyle name="Titre " xfId="62"/>
    <cellStyle name="Titre 1" xfId="63"/>
    <cellStyle name="Titre 2" xfId="64"/>
    <cellStyle name="Titre 3" xfId="65"/>
    <cellStyle name="Titre 4" xfId="66"/>
    <cellStyle name="Total" xfId="67"/>
    <cellStyle name="Vérification de cellule" xfId="68"/>
    <cellStyle name="vert1" xfId="69"/>
  </cellStyles>
  <dxfs count="44">
    <dxf>
      <fill>
        <patternFill patternType="solid">
          <fgColor indexed="53"/>
          <bgColor indexed="52"/>
        </patternFill>
      </fill>
    </dxf>
    <dxf>
      <font>
        <b/>
        <i val="0"/>
        <sz val="13"/>
        <color indexed="8"/>
      </font>
      <fill>
        <patternFill patternType="solid">
          <fgColor indexed="45"/>
          <bgColor indexed="29"/>
        </patternFill>
      </fill>
      <border>
        <left style="hair">
          <color indexed="8"/>
        </left>
        <right style="hair">
          <color indexed="8"/>
        </right>
        <top style="hair">
          <color indexed="8"/>
        </top>
        <bottom style="hair">
          <color indexed="8"/>
        </bottom>
      </border>
    </dxf>
    <dxf>
      <font>
        <b val="0"/>
        <color indexed="9"/>
      </font>
      <border>
        <left style="hair">
          <color indexed="8"/>
        </left>
        <right style="hair">
          <color indexed="8"/>
        </right>
        <top style="hair">
          <color indexed="8"/>
        </top>
        <bottom style="hair">
          <color indexed="8"/>
        </bottom>
      </border>
    </dxf>
    <dxf>
      <font>
        <b/>
        <i val="0"/>
        <sz val="13"/>
        <color indexed="8"/>
      </font>
      <fill>
        <patternFill patternType="solid">
          <fgColor indexed="42"/>
          <bgColor indexed="31"/>
        </patternFill>
      </fill>
      <border>
        <left style="hair">
          <color indexed="8"/>
        </left>
        <right style="hair">
          <color indexed="8"/>
        </right>
        <top style="hair">
          <color indexed="8"/>
        </top>
        <bottom style="hair">
          <color indexed="8"/>
        </bottom>
      </border>
    </dxf>
    <dxf>
      <font>
        <b/>
        <i val="0"/>
        <sz val="13"/>
        <color indexed="8"/>
      </font>
      <fill>
        <patternFill patternType="solid">
          <fgColor indexed="45"/>
          <bgColor indexed="29"/>
        </patternFill>
      </fill>
      <border>
        <left style="hair">
          <color indexed="8"/>
        </left>
        <right style="hair">
          <color indexed="8"/>
        </right>
        <top style="hair">
          <color indexed="8"/>
        </top>
        <bottom style="hair">
          <color indexed="8"/>
        </bottom>
      </border>
    </dxf>
    <dxf>
      <font>
        <b val="0"/>
        <color indexed="9"/>
      </font>
      <border>
        <left style="hair">
          <color indexed="8"/>
        </left>
        <right style="hair">
          <color indexed="8"/>
        </right>
        <top style="hair">
          <color indexed="8"/>
        </top>
        <bottom style="hair">
          <color indexed="8"/>
        </bottom>
      </border>
    </dxf>
    <dxf>
      <font>
        <b/>
        <i val="0"/>
        <sz val="13"/>
        <color indexed="8"/>
      </font>
      <fill>
        <patternFill patternType="solid">
          <fgColor indexed="42"/>
          <bgColor indexed="31"/>
        </patternFill>
      </fill>
      <border>
        <left style="hair">
          <color indexed="8"/>
        </left>
        <right style="hair">
          <color indexed="8"/>
        </right>
        <top style="hair">
          <color indexed="8"/>
        </top>
        <bottom style="hair">
          <color indexed="8"/>
        </bottom>
      </border>
    </dxf>
    <dxf>
      <font>
        <b/>
        <i val="0"/>
        <sz val="13"/>
        <color indexed="8"/>
      </font>
      <fill>
        <patternFill patternType="solid">
          <fgColor indexed="45"/>
          <bgColor indexed="29"/>
        </patternFill>
      </fill>
      <border>
        <left style="hair">
          <color indexed="8"/>
        </left>
        <right style="hair">
          <color indexed="8"/>
        </right>
        <top style="hair">
          <color indexed="8"/>
        </top>
        <bottom style="hair">
          <color indexed="8"/>
        </bottom>
      </border>
    </dxf>
    <dxf>
      <font>
        <b val="0"/>
        <color indexed="9"/>
      </font>
      <border>
        <left style="hair">
          <color indexed="8"/>
        </left>
        <right style="hair">
          <color indexed="8"/>
        </right>
        <top style="hair">
          <color indexed="8"/>
        </top>
        <bottom style="hair">
          <color indexed="8"/>
        </bottom>
      </border>
    </dxf>
    <dxf>
      <font>
        <b/>
        <i val="0"/>
        <sz val="13"/>
        <color indexed="8"/>
      </font>
      <fill>
        <patternFill patternType="solid">
          <fgColor indexed="42"/>
          <bgColor indexed="31"/>
        </patternFill>
      </fill>
      <border>
        <left style="hair">
          <color indexed="8"/>
        </left>
        <right style="hair">
          <color indexed="8"/>
        </right>
        <top style="hair">
          <color indexed="8"/>
        </top>
        <bottom style="hair">
          <color indexed="8"/>
        </bottom>
      </border>
    </dxf>
    <dxf>
      <font>
        <b val="0"/>
        <color indexed="9"/>
      </font>
      <border>
        <left style="hair">
          <color indexed="8"/>
        </left>
        <right style="hair">
          <color indexed="8"/>
        </right>
        <top style="hair">
          <color indexed="8"/>
        </top>
        <bottom style="hair">
          <color indexed="8"/>
        </bottom>
      </border>
    </dxf>
    <dxf>
      <font>
        <b/>
        <i val="0"/>
        <sz val="13"/>
        <color indexed="8"/>
      </font>
      <fill>
        <patternFill patternType="solid">
          <fgColor indexed="45"/>
          <bgColor indexed="29"/>
        </patternFill>
      </fill>
      <border>
        <left style="hair">
          <color indexed="8"/>
        </left>
        <right style="hair">
          <color indexed="8"/>
        </right>
        <top style="hair">
          <color indexed="8"/>
        </top>
        <bottom style="hair">
          <color indexed="8"/>
        </bottom>
      </border>
    </dxf>
    <dxf>
      <font>
        <b/>
        <i val="0"/>
        <sz val="13"/>
        <color indexed="8"/>
      </font>
      <fill>
        <patternFill patternType="solid">
          <fgColor indexed="42"/>
          <bgColor indexed="31"/>
        </patternFill>
      </fill>
      <border>
        <left style="hair">
          <color indexed="8"/>
        </left>
        <right style="hair">
          <color indexed="8"/>
        </right>
        <top style="hair">
          <color indexed="8"/>
        </top>
        <bottom style="hair">
          <color indexed="8"/>
        </bottom>
      </border>
    </dxf>
    <dxf>
      <font>
        <b val="0"/>
        <color indexed="9"/>
      </font>
      <border>
        <left style="hair">
          <color indexed="8"/>
        </left>
        <right style="hair">
          <color indexed="8"/>
        </right>
        <top style="hair">
          <color indexed="8"/>
        </top>
        <bottom style="hair">
          <color indexed="8"/>
        </bottom>
      </border>
    </dxf>
    <dxf>
      <font>
        <b/>
        <i val="0"/>
        <sz val="13"/>
        <color indexed="8"/>
      </font>
      <fill>
        <patternFill patternType="solid">
          <fgColor indexed="45"/>
          <bgColor indexed="29"/>
        </patternFill>
      </fill>
      <border>
        <left style="hair">
          <color indexed="8"/>
        </left>
        <right style="hair">
          <color indexed="8"/>
        </right>
        <top style="hair">
          <color indexed="8"/>
        </top>
        <bottom style="hair">
          <color indexed="8"/>
        </bottom>
      </border>
    </dxf>
    <dxf>
      <font>
        <b/>
        <i val="0"/>
        <sz val="13"/>
        <color indexed="8"/>
      </font>
      <fill>
        <patternFill patternType="solid">
          <fgColor indexed="42"/>
          <bgColor indexed="31"/>
        </patternFill>
      </fill>
      <border>
        <left style="hair">
          <color indexed="8"/>
        </left>
        <right style="hair">
          <color indexed="8"/>
        </right>
        <top style="hair">
          <color indexed="8"/>
        </top>
        <bottom style="hair">
          <color indexed="8"/>
        </bottom>
      </border>
    </dxf>
    <dxf>
      <font>
        <b/>
        <i val="0"/>
        <sz val="13"/>
        <color indexed="8"/>
      </font>
      <fill>
        <patternFill patternType="solid">
          <fgColor indexed="45"/>
          <bgColor indexed="29"/>
        </patternFill>
      </fill>
      <border>
        <left style="hair">
          <color indexed="8"/>
        </left>
        <right style="hair">
          <color indexed="8"/>
        </right>
        <top style="hair">
          <color indexed="8"/>
        </top>
        <bottom style="hair">
          <color indexed="8"/>
        </bottom>
      </border>
    </dxf>
    <dxf>
      <font>
        <b/>
        <i val="0"/>
        <sz val="13"/>
        <color indexed="8"/>
      </font>
      <fill>
        <patternFill patternType="solid">
          <fgColor indexed="34"/>
          <bgColor indexed="43"/>
        </patternFill>
      </fill>
      <border>
        <left style="hair">
          <color indexed="8"/>
        </left>
        <right style="hair">
          <color indexed="8"/>
        </right>
        <top style="hair">
          <color indexed="8"/>
        </top>
        <bottom style="hair">
          <color indexed="8"/>
        </bottom>
      </border>
    </dxf>
    <dxf>
      <font>
        <b/>
        <i val="0"/>
        <sz val="13"/>
        <color indexed="8"/>
      </font>
      <fill>
        <patternFill patternType="solid">
          <fgColor indexed="42"/>
          <bgColor indexed="31"/>
        </patternFill>
      </fill>
      <border>
        <left style="hair">
          <color indexed="8"/>
        </left>
        <right style="hair">
          <color indexed="8"/>
        </right>
        <top style="hair">
          <color indexed="8"/>
        </top>
        <bottom style="hair">
          <color indexed="8"/>
        </bottom>
      </border>
    </dxf>
    <dxf>
      <font>
        <b val="0"/>
        <color indexed="9"/>
      </font>
      <border>
        <left style="hair">
          <color indexed="8"/>
        </left>
        <right style="hair">
          <color indexed="8"/>
        </right>
        <top style="hair">
          <color indexed="8"/>
        </top>
        <bottom style="hair">
          <color indexed="8"/>
        </bottom>
      </border>
    </dxf>
    <dxf>
      <font>
        <b val="0"/>
        <color indexed="9"/>
      </font>
      <border>
        <left style="hair">
          <color indexed="8"/>
        </left>
        <right style="hair">
          <color indexed="8"/>
        </right>
        <top style="hair">
          <color indexed="8"/>
        </top>
        <bottom style="hair">
          <color indexed="8"/>
        </bottom>
      </border>
    </dxf>
    <dxf>
      <font>
        <b val="0"/>
        <color indexed="9"/>
      </font>
      <border>
        <left style="hair">
          <color indexed="8"/>
        </left>
        <right style="hair">
          <color indexed="8"/>
        </right>
        <top style="hair">
          <color indexed="8"/>
        </top>
        <bottom style="hair">
          <color indexed="8"/>
        </bottom>
      </border>
    </dxf>
    <dxf>
      <font>
        <b val="0"/>
        <color indexed="9"/>
      </font>
      <border>
        <left style="hair">
          <color indexed="8"/>
        </left>
        <right style="hair">
          <color indexed="8"/>
        </right>
        <top style="hair">
          <color indexed="8"/>
        </top>
        <bottom style="hair">
          <color indexed="8"/>
        </bottom>
      </border>
    </dxf>
    <dxf>
      <fill>
        <patternFill patternType="solid">
          <fgColor indexed="34"/>
          <bgColor indexed="47"/>
        </patternFill>
      </fill>
    </dxf>
    <dxf>
      <font>
        <b val="0"/>
        <color indexed="9"/>
      </font>
      <border>
        <left style="hair">
          <color indexed="8"/>
        </left>
        <right style="hair">
          <color indexed="8"/>
        </right>
        <top style="hair">
          <color indexed="8"/>
        </top>
        <bottom style="hair">
          <color indexed="8"/>
        </bottom>
      </border>
    </dxf>
    <dxf>
      <fill>
        <patternFill patternType="solid">
          <fgColor indexed="27"/>
          <bgColor indexed="42"/>
        </patternFill>
      </fill>
    </dxf>
    <dxf>
      <font>
        <b/>
        <i val="0"/>
        <sz val="13"/>
        <color indexed="8"/>
      </font>
      <fill>
        <patternFill patternType="solid">
          <fgColor indexed="45"/>
          <bgColor indexed="29"/>
        </patternFill>
      </fill>
      <border>
        <left style="hair">
          <color indexed="8"/>
        </left>
        <right style="hair">
          <color indexed="8"/>
        </right>
        <top style="hair">
          <color indexed="8"/>
        </top>
        <bottom style="hair">
          <color indexed="8"/>
        </bottom>
      </border>
    </dxf>
    <dxf>
      <font>
        <b/>
        <i val="0"/>
        <sz val="13"/>
        <color indexed="8"/>
      </font>
      <fill>
        <patternFill patternType="solid">
          <fgColor indexed="34"/>
          <bgColor indexed="43"/>
        </patternFill>
      </fill>
      <border>
        <left style="hair">
          <color indexed="8"/>
        </left>
        <right style="hair">
          <color indexed="8"/>
        </right>
        <top style="hair">
          <color indexed="8"/>
        </top>
        <bottom style="hair">
          <color indexed="8"/>
        </bottom>
      </border>
    </dxf>
    <dxf>
      <font>
        <b/>
        <i val="0"/>
        <sz val="13"/>
        <color indexed="8"/>
      </font>
      <fill>
        <patternFill patternType="solid">
          <fgColor indexed="42"/>
          <bgColor indexed="31"/>
        </patternFill>
      </fill>
      <border>
        <left style="hair">
          <color indexed="8"/>
        </left>
        <right style="hair">
          <color indexed="8"/>
        </right>
        <top style="hair">
          <color indexed="8"/>
        </top>
        <bottom style="hair">
          <color indexed="8"/>
        </bottom>
      </border>
    </dxf>
    <dxf>
      <font>
        <b val="0"/>
        <color indexed="9"/>
      </font>
      <border>
        <left style="hair">
          <color indexed="8"/>
        </left>
        <right style="hair">
          <color indexed="8"/>
        </right>
        <top style="hair">
          <color indexed="8"/>
        </top>
        <bottom style="hair">
          <color indexed="8"/>
        </bottom>
      </border>
    </dxf>
    <dxf>
      <font>
        <b/>
        <i val="0"/>
        <sz val="13"/>
        <color indexed="8"/>
      </font>
      <fill>
        <patternFill patternType="solid">
          <fgColor indexed="45"/>
          <bgColor indexed="29"/>
        </patternFill>
      </fill>
      <border>
        <left style="hair">
          <color indexed="8"/>
        </left>
        <right style="hair">
          <color indexed="8"/>
        </right>
        <top style="hair">
          <color indexed="8"/>
        </top>
        <bottom style="hair">
          <color indexed="8"/>
        </bottom>
      </border>
    </dxf>
    <dxf>
      <font>
        <b val="0"/>
        <color indexed="9"/>
      </font>
      <border>
        <left style="hair">
          <color indexed="8"/>
        </left>
        <right style="hair">
          <color indexed="8"/>
        </right>
        <top style="hair">
          <color indexed="8"/>
        </top>
        <bottom style="hair">
          <color indexed="8"/>
        </bottom>
      </border>
    </dxf>
    <dxf>
      <font>
        <b/>
        <i val="0"/>
        <sz val="13"/>
        <color indexed="8"/>
      </font>
      <fill>
        <patternFill patternType="solid">
          <fgColor indexed="42"/>
          <bgColor indexed="31"/>
        </patternFill>
      </fill>
      <border>
        <left style="hair">
          <color indexed="8"/>
        </left>
        <right style="hair">
          <color indexed="8"/>
        </right>
        <top style="hair">
          <color indexed="8"/>
        </top>
        <bottom style="hair">
          <color indexed="8"/>
        </bottom>
      </border>
    </dxf>
    <dxf>
      <font>
        <b/>
        <i val="0"/>
        <sz val="13"/>
        <color indexed="8"/>
      </font>
      <fill>
        <patternFill patternType="solid">
          <fgColor indexed="42"/>
          <bgColor indexed="31"/>
        </patternFill>
      </fill>
      <border>
        <left style="hair">
          <color indexed="8"/>
        </left>
        <right style="hair">
          <color indexed="8"/>
        </right>
        <top style="hair">
          <color indexed="8"/>
        </top>
        <bottom style="hair">
          <color indexed="8"/>
        </bottom>
      </border>
    </dxf>
    <dxf/>
    <dxf>
      <font>
        <b val="0"/>
        <color indexed="9"/>
      </font>
      <border>
        <left style="hair">
          <color indexed="8"/>
        </left>
        <right style="hair">
          <color indexed="8"/>
        </right>
        <top style="hair">
          <color indexed="8"/>
        </top>
        <bottom style="hair">
          <color indexed="8"/>
        </bottom>
      </border>
    </dxf>
    <dxf>
      <fill>
        <patternFill patternType="solid">
          <fgColor indexed="53"/>
          <bgColor indexed="52"/>
        </patternFill>
      </fill>
    </dxf>
    <dxf>
      <fill>
        <patternFill patternType="solid">
          <fgColor indexed="53"/>
          <bgColor indexed="52"/>
        </patternFill>
      </fill>
    </dxf>
    <dxf>
      <fill>
        <patternFill patternType="solid">
          <fgColor indexed="53"/>
          <bgColor indexed="52"/>
        </patternFill>
      </fill>
    </dxf>
    <dxf>
      <fill>
        <patternFill patternType="solid">
          <fgColor indexed="53"/>
          <bgColor indexed="52"/>
        </patternFill>
      </fill>
    </dxf>
    <dxf>
      <font>
        <b val="0"/>
        <color rgb="FFFFFFFF"/>
      </font>
      <border>
        <left style="hair">
          <color rgb="FF000000"/>
        </left>
        <right style="hair">
          <color rgb="FF000000"/>
        </right>
        <top style="hair"/>
        <bottom style="hair">
          <color rgb="FF000000"/>
        </bottom>
      </border>
    </dxf>
    <dxf>
      <font>
        <b/>
        <i val="0"/>
        <sz val="13"/>
        <color rgb="FF000000"/>
      </font>
      <fill>
        <patternFill patternType="solid">
          <fgColor rgb="FFCCFFCC"/>
          <bgColor rgb="FFC6E89C"/>
        </patternFill>
      </fill>
      <border>
        <left style="hair">
          <color rgb="FF000000"/>
        </left>
        <right style="hair">
          <color rgb="FF000000"/>
        </right>
        <top style="hair"/>
        <bottom style="hair">
          <color rgb="FF000000"/>
        </bottom>
      </border>
    </dxf>
    <dxf>
      <font>
        <b/>
        <i val="0"/>
        <sz val="13"/>
        <color rgb="FF000000"/>
      </font>
      <fill>
        <patternFill patternType="solid">
          <fgColor rgb="FFFF99CC"/>
          <bgColor rgb="FFFF8080"/>
        </patternFill>
      </fill>
      <border>
        <left style="hair">
          <color rgb="FF000000"/>
        </left>
        <right style="hair">
          <color rgb="FF000000"/>
        </right>
        <top style="hair"/>
        <bottom style="hair">
          <color rgb="FF000000"/>
        </bottom>
      </border>
    </dxf>
    <dxf>
      <font>
        <b/>
        <i val="0"/>
        <sz val="13"/>
        <color rgb="FF000000"/>
      </font>
      <fill>
        <patternFill patternType="solid">
          <fgColor rgb="FFFFF58C"/>
          <bgColor rgb="FFFFFF99"/>
        </patternFill>
      </fill>
      <border>
        <left style="hair">
          <color rgb="FF000000"/>
        </left>
        <right style="hair">
          <color rgb="FF000000"/>
        </right>
        <top style="hair"/>
        <bottom style="hair">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DD0806"/>
      <rgbColor rgb="00008000"/>
      <rgbColor rgb="00000080"/>
      <rgbColor rgb="00808000"/>
      <rgbColor rgb="00800080"/>
      <rgbColor rgb="00008080"/>
      <rgbColor rgb="00B3B3B3"/>
      <rgbColor rgb="00808080"/>
      <rgbColor rgb="0093C1D9"/>
      <rgbColor rgb="00FF420E"/>
      <rgbColor rgb="00FFFFCC"/>
      <rgbColor rgb="00CCFFFF"/>
      <rgbColor rgb="00660066"/>
      <rgbColor rgb="00FF8080"/>
      <rgbColor rgb="000084D1"/>
      <rgbColor rgb="00C6E89C"/>
      <rgbColor rgb="00000080"/>
      <rgbColor rgb="00FF00FF"/>
      <rgbColor rgb="00FFF58C"/>
      <rgbColor rgb="0000FFFF"/>
      <rgbColor rgb="00800080"/>
      <rgbColor rgb="00800000"/>
      <rgbColor rgb="00008080"/>
      <rgbColor rgb="000000D4"/>
      <rgbColor rgb="0000CCFF"/>
      <rgbColor rgb="00E6E6FF"/>
      <rgbColor rgb="00CCFFCC"/>
      <rgbColor rgb="00FFFF99"/>
      <rgbColor rgb="0099CCFF"/>
      <rgbColor rgb="00FF99CC"/>
      <rgbColor rgb="00CC99FF"/>
      <rgbColor rgb="00FFCC99"/>
      <rgbColor rgb="003366FF"/>
      <rgbColor rgb="0083CAFF"/>
      <rgbColor rgb="0099CC00"/>
      <rgbColor rgb="00FFD320"/>
      <rgbColor rgb="00EB613D"/>
      <rgbColor rgb="00FF6633"/>
      <rgbColor rgb="00666699"/>
      <rgbColor rgb="00999999"/>
      <rgbColor rgb="00004586"/>
      <rgbColor rgb="00579D1C"/>
      <rgbColor rgb="00003300"/>
      <rgbColor rgb="00333300"/>
      <rgbColor rgb="00804C19"/>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171"/>
          <c:w val="0.903"/>
          <c:h val="0.81725"/>
        </c:manualLayout>
      </c:layout>
      <c:barChart>
        <c:barDir val="col"/>
        <c:grouping val="clustered"/>
        <c:varyColors val="0"/>
        <c:ser>
          <c:idx val="0"/>
          <c:order val="0"/>
          <c:spPr>
            <a:solidFill>
              <a:srgbClr val="B3B3B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'Synthèse individuelle'!$I$31:$M$31</c:f>
              <c:strCache/>
            </c:strRef>
          </c:cat>
          <c:val>
            <c:numRef>
              <c:f>'Synthèse individuelle'!$I$32:$M$32</c:f>
              <c:numCache/>
            </c:numRef>
          </c:val>
        </c:ser>
        <c:gapWidth val="100"/>
        <c:axId val="41135839"/>
        <c:axId val="34678232"/>
      </c:barChart>
      <c:catAx>
        <c:axId val="41135839"/>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100" b="0" i="0" u="none" baseline="0">
                <a:solidFill>
                  <a:srgbClr val="000000"/>
                </a:solidFill>
                <a:latin typeface="Arial"/>
                <a:ea typeface="Arial"/>
                <a:cs typeface="Arial"/>
              </a:defRPr>
            </a:pPr>
          </a:p>
        </c:txPr>
        <c:crossAx val="34678232"/>
        <c:crossesAt val="0"/>
        <c:auto val="1"/>
        <c:lblOffset val="100"/>
        <c:tickLblSkip val="1"/>
        <c:noMultiLvlLbl val="0"/>
      </c:catAx>
      <c:valAx>
        <c:axId val="34678232"/>
        <c:scaling>
          <c:orientation val="minMax"/>
          <c:max val="1"/>
          <c:min val="0"/>
        </c:scaling>
        <c:axPos val="l"/>
        <c:majorGridlines>
          <c:spPr>
            <a:ln w="3175">
              <a:solidFill>
                <a:srgbClr val="B3B3B3"/>
              </a:solidFill>
            </a:ln>
          </c:spPr>
        </c:majorGridlines>
        <c:delete val="0"/>
        <c:numFmt formatCode="0%" sourceLinked="0"/>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41135839"/>
        <c:crossesAt val="1"/>
        <c:crossBetween val="between"/>
        <c:dispUnits/>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17"/>
          <c:w val="0.903"/>
          <c:h val="0.8185"/>
        </c:manualLayout>
      </c:layout>
      <c:barChart>
        <c:barDir val="col"/>
        <c:grouping val="clustered"/>
        <c:varyColors val="0"/>
        <c:ser>
          <c:idx val="0"/>
          <c:order val="0"/>
          <c:spPr>
            <a:solidFill>
              <a:srgbClr val="B3B3B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'Synthèse groupe ok'!$I$31:$M$31</c:f>
              <c:strCache/>
            </c:strRef>
          </c:cat>
          <c:val>
            <c:numRef>
              <c:f>'Synthèse groupe ok'!$I$32:$M$32</c:f>
              <c:numCache/>
            </c:numRef>
          </c:val>
        </c:ser>
        <c:gapWidth val="100"/>
        <c:axId val="43668633"/>
        <c:axId val="57473378"/>
      </c:barChart>
      <c:catAx>
        <c:axId val="43668633"/>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100" b="0" i="0" u="none" baseline="0">
                <a:solidFill>
                  <a:srgbClr val="000000"/>
                </a:solidFill>
                <a:latin typeface="Arial"/>
                <a:ea typeface="Arial"/>
                <a:cs typeface="Arial"/>
              </a:defRPr>
            </a:pPr>
          </a:p>
        </c:txPr>
        <c:crossAx val="57473378"/>
        <c:crossesAt val="0"/>
        <c:auto val="1"/>
        <c:lblOffset val="100"/>
        <c:tickLblSkip val="1"/>
        <c:noMultiLvlLbl val="0"/>
      </c:catAx>
      <c:valAx>
        <c:axId val="57473378"/>
        <c:scaling>
          <c:orientation val="minMax"/>
          <c:max val="1"/>
          <c:min val="0"/>
        </c:scaling>
        <c:axPos val="l"/>
        <c:majorGridlines>
          <c:spPr>
            <a:ln w="3175">
              <a:solidFill>
                <a:srgbClr val="B3B3B3"/>
              </a:solidFill>
            </a:ln>
          </c:spPr>
        </c:majorGridlines>
        <c:delete val="0"/>
        <c:numFmt formatCode="0%" sourceLinked="0"/>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43668633"/>
        <c:crossesAt val="1"/>
        <c:crossBetween val="between"/>
        <c:dispUnits/>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45"/>
          <c:y val="0.285"/>
          <c:w val="0.82675"/>
          <c:h val="0.663"/>
        </c:manualLayout>
      </c:layout>
      <c:barChart>
        <c:barDir val="col"/>
        <c:grouping val="clustered"/>
        <c:varyColors val="0"/>
        <c:ser>
          <c:idx val="0"/>
          <c:order val="0"/>
          <c:spPr>
            <a:solidFill>
              <a:srgbClr val="00458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420E"/>
              </a:solidFill>
              <a:ln w="3175">
                <a:solidFill>
                  <a:srgbClr val="000000"/>
                </a:solidFill>
              </a:ln>
            </c:spPr>
          </c:dPt>
          <c:val>
            <c:numRef>
              <c:f>diagrammes!$AH$26</c:f>
              <c:numCache/>
            </c:numRef>
          </c:val>
        </c:ser>
        <c:ser>
          <c:idx val="1"/>
          <c:order val="1"/>
          <c:spPr>
            <a:solidFill>
              <a:srgbClr val="FF420E"/>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D320"/>
              </a:solidFill>
              <a:ln w="3175">
                <a:solidFill>
                  <a:srgbClr val="000000"/>
                </a:solidFill>
              </a:ln>
            </c:spPr>
          </c:dPt>
          <c:val>
            <c:numRef>
              <c:f>diagrammes!$AI$26</c:f>
              <c:numCache/>
            </c:numRef>
          </c:val>
        </c:ser>
        <c:ser>
          <c:idx val="2"/>
          <c:order val="2"/>
          <c:spPr>
            <a:solidFill>
              <a:srgbClr val="FFD32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4D1"/>
              </a:solidFill>
              <a:ln w="3175">
                <a:solidFill>
                  <a:srgbClr val="000000"/>
                </a:solidFill>
              </a:ln>
            </c:spPr>
          </c:dPt>
          <c:val>
            <c:numRef>
              <c:f>diagrammes!$AJ$26</c:f>
              <c:numCache/>
            </c:numRef>
          </c:val>
        </c:ser>
        <c:ser>
          <c:idx val="3"/>
          <c:order val="3"/>
          <c:spPr>
            <a:solidFill>
              <a:srgbClr val="579D1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6E89C"/>
              </a:solidFill>
              <a:ln w="3175">
                <a:solidFill>
                  <a:srgbClr val="000000"/>
                </a:solidFill>
              </a:ln>
            </c:spPr>
          </c:dPt>
          <c:val>
            <c:numRef>
              <c:f>diagrammes!$AK$26</c:f>
              <c:numCache/>
            </c:numRef>
          </c:val>
        </c:ser>
        <c:gapWidth val="100"/>
        <c:axId val="47498355"/>
        <c:axId val="24832012"/>
      </c:barChart>
      <c:catAx>
        <c:axId val="47498355"/>
        <c:scaling>
          <c:orientation val="minMax"/>
        </c:scaling>
        <c:axPos val="b"/>
        <c:delete val="1"/>
        <c:majorTickMark val="out"/>
        <c:minorTickMark val="none"/>
        <c:tickLblPos val="nextTo"/>
        <c:crossAx val="24832012"/>
        <c:crossesAt val="0"/>
        <c:auto val="1"/>
        <c:lblOffset val="100"/>
        <c:tickLblSkip val="1"/>
        <c:noMultiLvlLbl val="0"/>
      </c:catAx>
      <c:valAx>
        <c:axId val="24832012"/>
        <c:scaling>
          <c:orientation val="minMax"/>
          <c:max val="1"/>
          <c:min val="0"/>
        </c:scaling>
        <c:axPos val="l"/>
        <c:majorGridlines>
          <c:spPr>
            <a:ln w="3175">
              <a:solidFill>
                <a:srgbClr val="B3B3B3"/>
              </a:solidFill>
            </a:ln>
          </c:spPr>
        </c:majorGridlines>
        <c:delete val="0"/>
        <c:numFmt formatCode="0%" sourceLinked="0"/>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47498355"/>
        <c:crossesAt val="1"/>
        <c:crossBetween val="between"/>
        <c:dispUnits/>
        <c:majorUnit val="0.5"/>
        <c:minorUnit val="0.25"/>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55"/>
          <c:y val="0.315"/>
          <c:w val="0.82575"/>
          <c:h val="0.65775"/>
        </c:manualLayout>
      </c:layout>
      <c:barChart>
        <c:barDir val="col"/>
        <c:grouping val="clustered"/>
        <c:varyColors val="0"/>
        <c:ser>
          <c:idx val="0"/>
          <c:order val="0"/>
          <c:spPr>
            <a:solidFill>
              <a:srgbClr val="00458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420E"/>
              </a:solidFill>
              <a:ln w="3175">
                <a:solidFill>
                  <a:srgbClr val="000000"/>
                </a:solidFill>
              </a:ln>
            </c:spPr>
          </c:dPt>
          <c:val>
            <c:numRef>
              <c:f>diagrammes!$AH$30</c:f>
              <c:numCache/>
            </c:numRef>
          </c:val>
        </c:ser>
        <c:ser>
          <c:idx val="1"/>
          <c:order val="1"/>
          <c:spPr>
            <a:solidFill>
              <a:srgbClr val="FF420E"/>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D320"/>
              </a:solidFill>
              <a:ln w="3175">
                <a:solidFill>
                  <a:srgbClr val="000000"/>
                </a:solidFill>
              </a:ln>
            </c:spPr>
          </c:dPt>
          <c:val>
            <c:numRef>
              <c:f>diagrammes!$AI$30</c:f>
              <c:numCache/>
            </c:numRef>
          </c:val>
        </c:ser>
        <c:ser>
          <c:idx val="2"/>
          <c:order val="2"/>
          <c:spPr>
            <a:solidFill>
              <a:srgbClr val="FFD32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4D1"/>
              </a:solidFill>
              <a:ln w="3175">
                <a:solidFill>
                  <a:srgbClr val="000000"/>
                </a:solidFill>
              </a:ln>
            </c:spPr>
          </c:dPt>
          <c:val>
            <c:numRef>
              <c:f>diagrammes!$AJ$30</c:f>
              <c:numCache/>
            </c:numRef>
          </c:val>
        </c:ser>
        <c:ser>
          <c:idx val="3"/>
          <c:order val="3"/>
          <c:spPr>
            <a:solidFill>
              <a:srgbClr val="579D1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6E89C"/>
              </a:solidFill>
              <a:ln w="3175">
                <a:solidFill>
                  <a:srgbClr val="000000"/>
                </a:solidFill>
              </a:ln>
            </c:spPr>
          </c:dPt>
          <c:val>
            <c:numRef>
              <c:f>diagrammes!$AK$30</c:f>
              <c:numCache/>
            </c:numRef>
          </c:val>
        </c:ser>
        <c:gapWidth val="100"/>
        <c:axId val="22161517"/>
        <c:axId val="65235926"/>
      </c:barChart>
      <c:catAx>
        <c:axId val="22161517"/>
        <c:scaling>
          <c:orientation val="minMax"/>
        </c:scaling>
        <c:axPos val="b"/>
        <c:delete val="1"/>
        <c:majorTickMark val="out"/>
        <c:minorTickMark val="none"/>
        <c:tickLblPos val="nextTo"/>
        <c:crossAx val="65235926"/>
        <c:crossesAt val="0"/>
        <c:auto val="1"/>
        <c:lblOffset val="100"/>
        <c:tickLblSkip val="1"/>
        <c:noMultiLvlLbl val="0"/>
      </c:catAx>
      <c:valAx>
        <c:axId val="65235926"/>
        <c:scaling>
          <c:orientation val="minMax"/>
          <c:max val="1"/>
          <c:min val="0"/>
        </c:scaling>
        <c:axPos val="l"/>
        <c:majorGridlines>
          <c:spPr>
            <a:ln w="3175">
              <a:solidFill>
                <a:srgbClr val="B3B3B3"/>
              </a:solidFill>
            </a:ln>
          </c:spPr>
        </c:majorGridlines>
        <c:delete val="0"/>
        <c:numFmt formatCode="0%" sourceLinked="0"/>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22161517"/>
        <c:crossesAt val="1"/>
        <c:crossBetween val="between"/>
        <c:dispUnits/>
        <c:majorUnit val="0.5"/>
        <c:minorUnit val="0.25"/>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55"/>
          <c:y val="0.2425"/>
          <c:w val="0.82575"/>
          <c:h val="0.6845"/>
        </c:manualLayout>
      </c:layout>
      <c:barChart>
        <c:barDir val="col"/>
        <c:grouping val="clustered"/>
        <c:varyColors val="0"/>
        <c:ser>
          <c:idx val="0"/>
          <c:order val="0"/>
          <c:spPr>
            <a:solidFill>
              <a:srgbClr val="00458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420E"/>
              </a:solidFill>
              <a:ln w="3175">
                <a:solidFill>
                  <a:srgbClr val="000000"/>
                </a:solidFill>
              </a:ln>
            </c:spPr>
          </c:dPt>
          <c:val>
            <c:numRef>
              <c:f>diagrammes!$AH$34</c:f>
              <c:numCache/>
            </c:numRef>
          </c:val>
        </c:ser>
        <c:ser>
          <c:idx val="1"/>
          <c:order val="1"/>
          <c:spPr>
            <a:solidFill>
              <a:srgbClr val="FF420E"/>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D320"/>
              </a:solidFill>
              <a:ln w="3175">
                <a:solidFill>
                  <a:srgbClr val="000000"/>
                </a:solidFill>
              </a:ln>
            </c:spPr>
          </c:dPt>
          <c:val>
            <c:numRef>
              <c:f>diagrammes!$AI$34</c:f>
              <c:numCache/>
            </c:numRef>
          </c:val>
        </c:ser>
        <c:ser>
          <c:idx val="2"/>
          <c:order val="2"/>
          <c:spPr>
            <a:solidFill>
              <a:srgbClr val="FFD32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4D1"/>
              </a:solidFill>
              <a:ln w="3175">
                <a:solidFill>
                  <a:srgbClr val="000000"/>
                </a:solidFill>
              </a:ln>
            </c:spPr>
          </c:dPt>
          <c:val>
            <c:numRef>
              <c:f>diagrammes!$AJ$34</c:f>
              <c:numCache/>
            </c:numRef>
          </c:val>
        </c:ser>
        <c:ser>
          <c:idx val="3"/>
          <c:order val="3"/>
          <c:spPr>
            <a:solidFill>
              <a:srgbClr val="579D1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6E89C"/>
              </a:solidFill>
              <a:ln w="3175">
                <a:solidFill>
                  <a:srgbClr val="000000"/>
                </a:solidFill>
              </a:ln>
            </c:spPr>
          </c:dPt>
          <c:val>
            <c:numRef>
              <c:f>diagrammes!$AK$34</c:f>
              <c:numCache/>
            </c:numRef>
          </c:val>
        </c:ser>
        <c:gapWidth val="100"/>
        <c:axId val="50252423"/>
        <c:axId val="49618624"/>
      </c:barChart>
      <c:catAx>
        <c:axId val="50252423"/>
        <c:scaling>
          <c:orientation val="minMax"/>
        </c:scaling>
        <c:axPos val="b"/>
        <c:delete val="1"/>
        <c:majorTickMark val="out"/>
        <c:minorTickMark val="none"/>
        <c:tickLblPos val="nextTo"/>
        <c:crossAx val="49618624"/>
        <c:crossesAt val="0"/>
        <c:auto val="1"/>
        <c:lblOffset val="100"/>
        <c:tickLblSkip val="1"/>
        <c:noMultiLvlLbl val="0"/>
      </c:catAx>
      <c:valAx>
        <c:axId val="49618624"/>
        <c:scaling>
          <c:orientation val="minMax"/>
          <c:max val="1"/>
          <c:min val="0"/>
        </c:scaling>
        <c:axPos val="l"/>
        <c:majorGridlines>
          <c:spPr>
            <a:ln w="3175">
              <a:solidFill>
                <a:srgbClr val="B3B3B3"/>
              </a:solidFill>
            </a:ln>
          </c:spPr>
        </c:majorGridlines>
        <c:delete val="0"/>
        <c:numFmt formatCode="0%" sourceLinked="0"/>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50252423"/>
        <c:crossesAt val="1"/>
        <c:crossBetween val="between"/>
        <c:dispUnits/>
        <c:majorUnit val="0.5"/>
        <c:minorUnit val="0.25"/>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55"/>
          <c:y val="0.31675"/>
          <c:w val="0.82575"/>
          <c:h val="0.66175"/>
        </c:manualLayout>
      </c:layout>
      <c:barChart>
        <c:barDir val="col"/>
        <c:grouping val="clustered"/>
        <c:varyColors val="0"/>
        <c:ser>
          <c:idx val="0"/>
          <c:order val="0"/>
          <c:spPr>
            <a:solidFill>
              <a:srgbClr val="00458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420E"/>
              </a:solidFill>
              <a:ln w="3175">
                <a:solidFill>
                  <a:srgbClr val="000000"/>
                </a:solidFill>
              </a:ln>
            </c:spPr>
          </c:dPt>
          <c:val>
            <c:numRef>
              <c:f>diagrammes!$AH$38</c:f>
              <c:numCache/>
            </c:numRef>
          </c:val>
        </c:ser>
        <c:ser>
          <c:idx val="1"/>
          <c:order val="1"/>
          <c:spPr>
            <a:solidFill>
              <a:srgbClr val="FF420E"/>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D320"/>
              </a:solidFill>
              <a:ln w="3175">
                <a:solidFill>
                  <a:srgbClr val="000000"/>
                </a:solidFill>
              </a:ln>
            </c:spPr>
          </c:dPt>
          <c:val>
            <c:numRef>
              <c:f>diagrammes!$AI$38</c:f>
              <c:numCache/>
            </c:numRef>
          </c:val>
        </c:ser>
        <c:ser>
          <c:idx val="2"/>
          <c:order val="2"/>
          <c:spPr>
            <a:solidFill>
              <a:srgbClr val="FFD32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4D1"/>
              </a:solidFill>
              <a:ln w="3175">
                <a:solidFill>
                  <a:srgbClr val="000000"/>
                </a:solidFill>
              </a:ln>
            </c:spPr>
          </c:dPt>
          <c:val>
            <c:numRef>
              <c:f>diagrammes!$AJ$38</c:f>
              <c:numCache/>
            </c:numRef>
          </c:val>
        </c:ser>
        <c:ser>
          <c:idx val="3"/>
          <c:order val="3"/>
          <c:spPr>
            <a:solidFill>
              <a:srgbClr val="579D1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6E89C"/>
              </a:solidFill>
              <a:ln w="3175">
                <a:solidFill>
                  <a:srgbClr val="000000"/>
                </a:solidFill>
              </a:ln>
            </c:spPr>
          </c:dPt>
          <c:val>
            <c:numRef>
              <c:f>diagrammes!$AK$38</c:f>
              <c:numCache/>
            </c:numRef>
          </c:val>
        </c:ser>
        <c:gapWidth val="100"/>
        <c:axId val="43914433"/>
        <c:axId val="59685578"/>
      </c:barChart>
      <c:catAx>
        <c:axId val="43914433"/>
        <c:scaling>
          <c:orientation val="minMax"/>
        </c:scaling>
        <c:axPos val="b"/>
        <c:delete val="1"/>
        <c:majorTickMark val="out"/>
        <c:minorTickMark val="none"/>
        <c:tickLblPos val="nextTo"/>
        <c:crossAx val="59685578"/>
        <c:crossesAt val="0"/>
        <c:auto val="1"/>
        <c:lblOffset val="100"/>
        <c:tickLblSkip val="1"/>
        <c:noMultiLvlLbl val="0"/>
      </c:catAx>
      <c:valAx>
        <c:axId val="59685578"/>
        <c:scaling>
          <c:orientation val="minMax"/>
          <c:max val="1"/>
          <c:min val="0"/>
        </c:scaling>
        <c:axPos val="l"/>
        <c:majorGridlines>
          <c:spPr>
            <a:ln w="3175">
              <a:solidFill>
                <a:srgbClr val="B3B3B3"/>
              </a:solidFill>
            </a:ln>
          </c:spPr>
        </c:majorGridlines>
        <c:delete val="0"/>
        <c:numFmt formatCode="0%" sourceLinked="0"/>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43914433"/>
        <c:crossesAt val="1"/>
        <c:crossBetween val="between"/>
        <c:dispUnits/>
        <c:majorUnit val="0.5"/>
        <c:minorUnit val="0.25"/>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5"/>
          <c:y val="0.303"/>
          <c:w val="0.82975"/>
          <c:h val="0.65225"/>
        </c:manualLayout>
      </c:layout>
      <c:barChart>
        <c:barDir val="col"/>
        <c:grouping val="clustered"/>
        <c:varyColors val="0"/>
        <c:ser>
          <c:idx val="0"/>
          <c:order val="0"/>
          <c:spPr>
            <a:solidFill>
              <a:srgbClr val="00458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420E"/>
              </a:solidFill>
              <a:ln w="3175">
                <a:solidFill>
                  <a:srgbClr val="000000"/>
                </a:solidFill>
              </a:ln>
            </c:spPr>
          </c:dPt>
          <c:val>
            <c:numRef>
              <c:f>diagrammes!$AH$46</c:f>
              <c:numCache/>
            </c:numRef>
          </c:val>
        </c:ser>
        <c:ser>
          <c:idx val="1"/>
          <c:order val="1"/>
          <c:spPr>
            <a:solidFill>
              <a:srgbClr val="FF420E"/>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D320"/>
              </a:solidFill>
              <a:ln w="3175">
                <a:solidFill>
                  <a:srgbClr val="000000"/>
                </a:solidFill>
              </a:ln>
            </c:spPr>
          </c:dPt>
          <c:val>
            <c:numRef>
              <c:f>diagrammes!$AI$46</c:f>
              <c:numCache/>
            </c:numRef>
          </c:val>
        </c:ser>
        <c:ser>
          <c:idx val="2"/>
          <c:order val="2"/>
          <c:spPr>
            <a:solidFill>
              <a:srgbClr val="FFD32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4D1"/>
              </a:solidFill>
              <a:ln w="3175">
                <a:solidFill>
                  <a:srgbClr val="000000"/>
                </a:solidFill>
              </a:ln>
            </c:spPr>
          </c:dPt>
          <c:val>
            <c:numRef>
              <c:f>diagrammes!$AJ$46</c:f>
              <c:numCache/>
            </c:numRef>
          </c:val>
        </c:ser>
        <c:ser>
          <c:idx val="3"/>
          <c:order val="3"/>
          <c:spPr>
            <a:solidFill>
              <a:srgbClr val="579D1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6E89C"/>
              </a:solidFill>
              <a:ln w="3175">
                <a:solidFill>
                  <a:srgbClr val="000000"/>
                </a:solidFill>
              </a:ln>
            </c:spPr>
          </c:dPt>
          <c:val>
            <c:numRef>
              <c:f>diagrammes!$AK$46</c:f>
              <c:numCache/>
            </c:numRef>
          </c:val>
        </c:ser>
        <c:gapWidth val="100"/>
        <c:axId val="299291"/>
        <c:axId val="2693620"/>
      </c:barChart>
      <c:catAx>
        <c:axId val="299291"/>
        <c:scaling>
          <c:orientation val="minMax"/>
        </c:scaling>
        <c:axPos val="b"/>
        <c:delete val="1"/>
        <c:majorTickMark val="out"/>
        <c:minorTickMark val="none"/>
        <c:tickLblPos val="nextTo"/>
        <c:crossAx val="2693620"/>
        <c:crossesAt val="0"/>
        <c:auto val="1"/>
        <c:lblOffset val="100"/>
        <c:tickLblSkip val="1"/>
        <c:noMultiLvlLbl val="0"/>
      </c:catAx>
      <c:valAx>
        <c:axId val="2693620"/>
        <c:scaling>
          <c:orientation val="minMax"/>
          <c:max val="1"/>
          <c:min val="0"/>
        </c:scaling>
        <c:axPos val="l"/>
        <c:majorGridlines>
          <c:spPr>
            <a:ln w="3175">
              <a:solidFill>
                <a:srgbClr val="B3B3B3"/>
              </a:solidFill>
            </a:ln>
          </c:spPr>
        </c:majorGridlines>
        <c:delete val="0"/>
        <c:numFmt formatCode="0%" sourceLinked="0"/>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299291"/>
        <c:crossesAt val="1"/>
        <c:crossBetween val="between"/>
        <c:dispUnits/>
        <c:majorUnit val="0.5"/>
        <c:minorUnit val="0.25"/>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
          <c:y val="0.00925"/>
          <c:w val="0.91325"/>
          <c:h val="0.88075"/>
        </c:manualLayout>
      </c:layout>
      <c:barChart>
        <c:barDir val="col"/>
        <c:grouping val="clustered"/>
        <c:varyColors val="0"/>
        <c:ser>
          <c:idx val="0"/>
          <c:order val="0"/>
          <c:spPr>
            <a:solidFill>
              <a:srgbClr val="00458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66CCFF"/>
              </a:solidFill>
              <a:ln w="3175">
                <a:solidFill>
                  <a:srgbClr val="000000"/>
                </a:solidFill>
              </a:ln>
            </c:spPr>
          </c:dPt>
          <c:dPt>
            <c:idx val="7"/>
            <c:invertIfNegative val="0"/>
            <c:spPr>
              <a:solidFill>
                <a:srgbClr val="66CCFF"/>
              </a:solidFill>
              <a:ln w="3175">
                <a:solidFill>
                  <a:srgbClr val="000000"/>
                </a:solidFill>
              </a:ln>
            </c:spPr>
          </c:dPt>
          <c:dPt>
            <c:idx val="8"/>
            <c:invertIfNegative val="0"/>
            <c:spPr>
              <a:solidFill>
                <a:srgbClr val="66CCFF"/>
              </a:solidFill>
              <a:ln w="3175">
                <a:solidFill>
                  <a:srgbClr val="000000"/>
                </a:solidFill>
              </a:ln>
            </c:spPr>
          </c:dPt>
          <c:dPt>
            <c:idx val="9"/>
            <c:invertIfNegative val="0"/>
            <c:spPr>
              <a:solidFill>
                <a:srgbClr val="66CCFF"/>
              </a:solidFill>
              <a:ln w="3175">
                <a:solidFill>
                  <a:srgbClr val="000000"/>
                </a:solidFill>
              </a:ln>
            </c:spPr>
          </c:dPt>
          <c:dPt>
            <c:idx val="10"/>
            <c:invertIfNegative val="0"/>
            <c:spPr>
              <a:solidFill>
                <a:srgbClr val="66CCFF"/>
              </a:solidFill>
              <a:ln w="3175">
                <a:solidFill>
                  <a:srgbClr val="000000"/>
                </a:solidFill>
              </a:ln>
            </c:spPr>
          </c:dPt>
          <c:dPt>
            <c:idx val="11"/>
            <c:invertIfNegative val="0"/>
            <c:spPr>
              <a:solidFill>
                <a:srgbClr val="FF0000"/>
              </a:solidFill>
              <a:ln w="3175">
                <a:solidFill>
                  <a:srgbClr val="000000"/>
                </a:solidFill>
              </a:ln>
            </c:spPr>
          </c:dPt>
          <c:dPt>
            <c:idx val="12"/>
            <c:invertIfNegative val="0"/>
            <c:spPr>
              <a:solidFill>
                <a:srgbClr val="FF0000"/>
              </a:solidFill>
              <a:ln w="3175">
                <a:solidFill>
                  <a:srgbClr val="000000"/>
                </a:solidFill>
              </a:ln>
            </c:spPr>
          </c:dPt>
          <c:dPt>
            <c:idx val="13"/>
            <c:invertIfNegative val="0"/>
            <c:spPr>
              <a:solidFill>
                <a:srgbClr val="FF0000"/>
              </a:solidFill>
              <a:ln w="3175">
                <a:solidFill>
                  <a:srgbClr val="000000"/>
                </a:solidFill>
              </a:ln>
            </c:spPr>
          </c:dPt>
          <c:dPt>
            <c:idx val="14"/>
            <c:invertIfNegative val="0"/>
            <c:spPr>
              <a:solidFill>
                <a:srgbClr val="FF0000"/>
              </a:solidFill>
              <a:ln w="3175">
                <a:solidFill>
                  <a:srgbClr val="000000"/>
                </a:solidFill>
              </a:ln>
            </c:spPr>
          </c:dPt>
          <c:dPt>
            <c:idx val="15"/>
            <c:invertIfNegative val="0"/>
            <c:spPr>
              <a:solidFill>
                <a:srgbClr val="FF0000"/>
              </a:solidFill>
              <a:ln w="3175">
                <a:solidFill>
                  <a:srgbClr val="000000"/>
                </a:solidFill>
              </a:ln>
            </c:spPr>
          </c:dPt>
          <c:dPt>
            <c:idx val="16"/>
            <c:invertIfNegative val="0"/>
            <c:spPr>
              <a:solidFill>
                <a:srgbClr val="800000"/>
              </a:solidFill>
              <a:ln w="3175">
                <a:solidFill>
                  <a:srgbClr val="000000"/>
                </a:solidFill>
              </a:ln>
            </c:spPr>
          </c:dPt>
          <c:dPt>
            <c:idx val="17"/>
            <c:invertIfNegative val="0"/>
            <c:spPr>
              <a:solidFill>
                <a:srgbClr val="800000"/>
              </a:solidFill>
              <a:ln w="3175">
                <a:solidFill>
                  <a:srgbClr val="000000"/>
                </a:solidFill>
              </a:ln>
            </c:spPr>
          </c:dPt>
          <c:dPt>
            <c:idx val="18"/>
            <c:invertIfNegative val="0"/>
            <c:spPr>
              <a:solidFill>
                <a:srgbClr val="FFFF00"/>
              </a:solidFill>
              <a:ln w="3175">
                <a:solidFill>
                  <a:srgbClr val="000000"/>
                </a:solidFill>
              </a:ln>
            </c:spPr>
          </c:dPt>
          <c:dPt>
            <c:idx val="19"/>
            <c:invertIfNegative val="0"/>
            <c:spPr>
              <a:solidFill>
                <a:srgbClr val="FFFF00"/>
              </a:solidFill>
              <a:ln w="3175">
                <a:solidFill>
                  <a:srgbClr val="000000"/>
                </a:solidFill>
              </a:ln>
            </c:spPr>
          </c:dPt>
          <c:dPt>
            <c:idx val="20"/>
            <c:invertIfNegative val="0"/>
            <c:spPr>
              <a:solidFill>
                <a:srgbClr val="FFFF00"/>
              </a:solidFill>
              <a:ln w="3175">
                <a:solidFill>
                  <a:srgbClr val="000000"/>
                </a:solidFill>
              </a:ln>
            </c:spPr>
          </c:dPt>
          <c:dPt>
            <c:idx val="21"/>
            <c:invertIfNegative val="0"/>
            <c:spPr>
              <a:solidFill>
                <a:srgbClr val="FFFF00"/>
              </a:solidFill>
              <a:ln w="3175">
                <a:solidFill>
                  <a:srgbClr val="000000"/>
                </a:solidFill>
              </a:ln>
            </c:spPr>
          </c:dPt>
          <c:val>
            <c:numRef>
              <c:f>diagrammes!$I$5:$AD$5</c:f>
              <c:numCache/>
            </c:numRef>
          </c:val>
        </c:ser>
        <c:gapWidth val="100"/>
        <c:axId val="24242581"/>
        <c:axId val="16856638"/>
      </c:barChart>
      <c:catAx>
        <c:axId val="24242581"/>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16856638"/>
        <c:crossesAt val="0"/>
        <c:auto val="1"/>
        <c:lblOffset val="100"/>
        <c:tickLblSkip val="1"/>
        <c:noMultiLvlLbl val="0"/>
      </c:catAx>
      <c:valAx>
        <c:axId val="16856638"/>
        <c:scaling>
          <c:orientation val="minMax"/>
          <c:max val="1"/>
          <c:min val="0"/>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24242581"/>
        <c:crossesAt val="1"/>
        <c:crossBetween val="between"/>
        <c:dispUnits/>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5"/>
          <c:y val="0.3045"/>
          <c:w val="0.82775"/>
          <c:h val="0.6765"/>
        </c:manualLayout>
      </c:layout>
      <c:barChart>
        <c:barDir val="col"/>
        <c:grouping val="clustered"/>
        <c:varyColors val="0"/>
        <c:ser>
          <c:idx val="0"/>
          <c:order val="0"/>
          <c:spPr>
            <a:solidFill>
              <a:srgbClr val="00458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420E"/>
              </a:solidFill>
              <a:ln w="3175">
                <a:solidFill>
                  <a:srgbClr val="000000"/>
                </a:solidFill>
              </a:ln>
            </c:spPr>
          </c:dPt>
          <c:val>
            <c:numRef>
              <c:f>diagrammes!$AH$42</c:f>
              <c:numCache/>
            </c:numRef>
          </c:val>
        </c:ser>
        <c:ser>
          <c:idx val="1"/>
          <c:order val="1"/>
          <c:spPr>
            <a:solidFill>
              <a:srgbClr val="FF420E"/>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D320"/>
              </a:solidFill>
              <a:ln w="3175">
                <a:solidFill>
                  <a:srgbClr val="000000"/>
                </a:solidFill>
              </a:ln>
            </c:spPr>
          </c:dPt>
          <c:val>
            <c:numRef>
              <c:f>diagrammes!$AI$42</c:f>
              <c:numCache/>
            </c:numRef>
          </c:val>
        </c:ser>
        <c:ser>
          <c:idx val="2"/>
          <c:order val="2"/>
          <c:spPr>
            <a:solidFill>
              <a:srgbClr val="FFD32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4D1"/>
              </a:solidFill>
              <a:ln w="3175">
                <a:solidFill>
                  <a:srgbClr val="000000"/>
                </a:solidFill>
              </a:ln>
            </c:spPr>
          </c:dPt>
          <c:val>
            <c:numRef>
              <c:f>diagrammes!$AJ$42</c:f>
              <c:numCache/>
            </c:numRef>
          </c:val>
        </c:ser>
        <c:ser>
          <c:idx val="3"/>
          <c:order val="3"/>
          <c:spPr>
            <a:solidFill>
              <a:srgbClr val="579D1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6E89C"/>
              </a:solidFill>
              <a:ln w="3175">
                <a:solidFill>
                  <a:srgbClr val="000000"/>
                </a:solidFill>
              </a:ln>
            </c:spPr>
          </c:dPt>
          <c:val>
            <c:numRef>
              <c:f>diagrammes!$AK$42</c:f>
              <c:numCache/>
            </c:numRef>
          </c:val>
        </c:ser>
        <c:gapWidth val="100"/>
        <c:axId val="17492015"/>
        <c:axId val="23210408"/>
      </c:barChart>
      <c:catAx>
        <c:axId val="17492015"/>
        <c:scaling>
          <c:orientation val="minMax"/>
        </c:scaling>
        <c:axPos val="b"/>
        <c:delete val="1"/>
        <c:majorTickMark val="out"/>
        <c:minorTickMark val="none"/>
        <c:tickLblPos val="nextTo"/>
        <c:crossAx val="23210408"/>
        <c:crossesAt val="0"/>
        <c:auto val="1"/>
        <c:lblOffset val="100"/>
        <c:tickLblSkip val="1"/>
        <c:noMultiLvlLbl val="0"/>
      </c:catAx>
      <c:valAx>
        <c:axId val="23210408"/>
        <c:scaling>
          <c:orientation val="minMax"/>
          <c:max val="1"/>
          <c:min val="0"/>
        </c:scaling>
        <c:axPos val="l"/>
        <c:majorGridlines>
          <c:spPr>
            <a:ln w="3175">
              <a:solidFill>
                <a:srgbClr val="B3B3B3"/>
              </a:solidFill>
            </a:ln>
          </c:spPr>
        </c:majorGridlines>
        <c:delete val="0"/>
        <c:numFmt formatCode="0%" sourceLinked="0"/>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17492015"/>
        <c:crossesAt val="1"/>
        <c:crossBetween val="between"/>
        <c:dispUnits/>
        <c:majorUnit val="0.5"/>
        <c:minorUnit val="0.25"/>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28</xdr:row>
      <xdr:rowOff>47625</xdr:rowOff>
    </xdr:from>
    <xdr:to>
      <xdr:col>7</xdr:col>
      <xdr:colOff>276225</xdr:colOff>
      <xdr:row>42</xdr:row>
      <xdr:rowOff>0</xdr:rowOff>
    </xdr:to>
    <xdr:graphicFrame>
      <xdr:nvGraphicFramePr>
        <xdr:cNvPr id="1" name="Graphique 1"/>
        <xdr:cNvGraphicFramePr/>
      </xdr:nvGraphicFramePr>
      <xdr:xfrm>
        <a:off x="885825" y="12049125"/>
        <a:ext cx="9667875" cy="2457450"/>
      </xdr:xfrm>
      <a:graphic>
        <a:graphicData uri="http://schemas.openxmlformats.org/drawingml/2006/chart">
          <c:chart xmlns:c="http://schemas.openxmlformats.org/drawingml/2006/chart" r:id="rId1"/>
        </a:graphicData>
      </a:graphic>
    </xdr:graphicFrame>
    <xdr:clientData/>
  </xdr:twoCellAnchor>
  <xdr:twoCellAnchor>
    <xdr:from>
      <xdr:col>2</xdr:col>
      <xdr:colOff>695325</xdr:colOff>
      <xdr:row>34</xdr:row>
      <xdr:rowOff>123825</xdr:rowOff>
    </xdr:from>
    <xdr:to>
      <xdr:col>7</xdr:col>
      <xdr:colOff>666750</xdr:colOff>
      <xdr:row>34</xdr:row>
      <xdr:rowOff>123825</xdr:rowOff>
    </xdr:to>
    <xdr:sp>
      <xdr:nvSpPr>
        <xdr:cNvPr id="2" name="Line 2"/>
        <xdr:cNvSpPr>
          <a:spLocks/>
        </xdr:cNvSpPr>
      </xdr:nvSpPr>
      <xdr:spPr>
        <a:xfrm flipV="1">
          <a:off x="1857375" y="13335000"/>
          <a:ext cx="9086850" cy="0"/>
        </a:xfrm>
        <a:prstGeom prst="line">
          <a:avLst/>
        </a:prstGeom>
        <a:noFill/>
        <a:ln w="3600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33</xdr:row>
      <xdr:rowOff>85725</xdr:rowOff>
    </xdr:from>
    <xdr:to>
      <xdr:col>7</xdr:col>
      <xdr:colOff>752475</xdr:colOff>
      <xdr:row>34</xdr:row>
      <xdr:rowOff>152400</xdr:rowOff>
    </xdr:to>
    <xdr:sp fLocksText="0">
      <xdr:nvSpPr>
        <xdr:cNvPr id="3" name="Text 3"/>
        <xdr:cNvSpPr txBox="1">
          <a:spLocks noChangeArrowheads="1"/>
        </xdr:cNvSpPr>
      </xdr:nvSpPr>
      <xdr:spPr>
        <a:xfrm>
          <a:off x="10487025" y="13134975"/>
          <a:ext cx="542925" cy="228600"/>
        </a:xfrm>
        <a:prstGeom prst="rect">
          <a:avLst/>
        </a:prstGeom>
        <a:noFill/>
        <a:ln w="9525" cmpd="sng">
          <a:noFill/>
        </a:ln>
      </xdr:spPr>
      <xdr:txBody>
        <a:bodyPr vertOverflow="clip" wrap="square" lIns="0" tIns="0" rIns="0" bIns="0"/>
        <a:p>
          <a:pPr algn="l">
            <a:defRPr/>
          </a:pPr>
          <a:r>
            <a:rPr lang="en-US" cap="none" sz="1600" b="1" i="0" u="none" baseline="0">
              <a:solidFill>
                <a:srgbClr val="008000"/>
              </a:solidFill>
            </a:rPr>
            <a:t>60%</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22</xdr:row>
      <xdr:rowOff>228600</xdr:rowOff>
    </xdr:from>
    <xdr:to>
      <xdr:col>30</xdr:col>
      <xdr:colOff>9525</xdr:colOff>
      <xdr:row>26</xdr:row>
      <xdr:rowOff>95250</xdr:rowOff>
    </xdr:to>
    <xdr:graphicFrame>
      <xdr:nvGraphicFramePr>
        <xdr:cNvPr id="1" name="Graphique 1"/>
        <xdr:cNvGraphicFramePr/>
      </xdr:nvGraphicFramePr>
      <xdr:xfrm>
        <a:off x="5743575" y="7162800"/>
        <a:ext cx="3409950" cy="914400"/>
      </xdr:xfrm>
      <a:graphic>
        <a:graphicData uri="http://schemas.openxmlformats.org/drawingml/2006/chart">
          <c:chart xmlns:c="http://schemas.openxmlformats.org/drawingml/2006/chart" r:id="rId1"/>
        </a:graphicData>
      </a:graphic>
    </xdr:graphicFrame>
    <xdr:clientData/>
  </xdr:twoCellAnchor>
  <xdr:twoCellAnchor>
    <xdr:from>
      <xdr:col>20</xdr:col>
      <xdr:colOff>28575</xdr:colOff>
      <xdr:row>26</xdr:row>
      <xdr:rowOff>152400</xdr:rowOff>
    </xdr:from>
    <xdr:to>
      <xdr:col>30</xdr:col>
      <xdr:colOff>9525</xdr:colOff>
      <xdr:row>30</xdr:row>
      <xdr:rowOff>123825</xdr:rowOff>
    </xdr:to>
    <xdr:graphicFrame>
      <xdr:nvGraphicFramePr>
        <xdr:cNvPr id="2" name="Graphique 2"/>
        <xdr:cNvGraphicFramePr/>
      </xdr:nvGraphicFramePr>
      <xdr:xfrm>
        <a:off x="5743575" y="8134350"/>
        <a:ext cx="3409950" cy="904875"/>
      </xdr:xfrm>
      <a:graphic>
        <a:graphicData uri="http://schemas.openxmlformats.org/drawingml/2006/chart">
          <c:chart xmlns:c="http://schemas.openxmlformats.org/drawingml/2006/chart" r:id="rId2"/>
        </a:graphicData>
      </a:graphic>
    </xdr:graphicFrame>
    <xdr:clientData/>
  </xdr:twoCellAnchor>
  <xdr:twoCellAnchor>
    <xdr:from>
      <xdr:col>20</xdr:col>
      <xdr:colOff>28575</xdr:colOff>
      <xdr:row>30</xdr:row>
      <xdr:rowOff>190500</xdr:rowOff>
    </xdr:from>
    <xdr:to>
      <xdr:col>30</xdr:col>
      <xdr:colOff>19050</xdr:colOff>
      <xdr:row>34</xdr:row>
      <xdr:rowOff>161925</xdr:rowOff>
    </xdr:to>
    <xdr:graphicFrame>
      <xdr:nvGraphicFramePr>
        <xdr:cNvPr id="3" name="Graphique 3"/>
        <xdr:cNvGraphicFramePr/>
      </xdr:nvGraphicFramePr>
      <xdr:xfrm>
        <a:off x="5743575" y="9105900"/>
        <a:ext cx="3419475" cy="904875"/>
      </xdr:xfrm>
      <a:graphic>
        <a:graphicData uri="http://schemas.openxmlformats.org/drawingml/2006/chart">
          <c:chart xmlns:c="http://schemas.openxmlformats.org/drawingml/2006/chart" r:id="rId3"/>
        </a:graphicData>
      </a:graphic>
    </xdr:graphicFrame>
    <xdr:clientData/>
  </xdr:twoCellAnchor>
  <xdr:twoCellAnchor>
    <xdr:from>
      <xdr:col>20</xdr:col>
      <xdr:colOff>28575</xdr:colOff>
      <xdr:row>34</xdr:row>
      <xdr:rowOff>161925</xdr:rowOff>
    </xdr:from>
    <xdr:to>
      <xdr:col>30</xdr:col>
      <xdr:colOff>9525</xdr:colOff>
      <xdr:row>38</xdr:row>
      <xdr:rowOff>133350</xdr:rowOff>
    </xdr:to>
    <xdr:graphicFrame>
      <xdr:nvGraphicFramePr>
        <xdr:cNvPr id="4" name="Graphique 4"/>
        <xdr:cNvGraphicFramePr/>
      </xdr:nvGraphicFramePr>
      <xdr:xfrm>
        <a:off x="5743575" y="10010775"/>
        <a:ext cx="3409950" cy="904875"/>
      </xdr:xfrm>
      <a:graphic>
        <a:graphicData uri="http://schemas.openxmlformats.org/drawingml/2006/chart">
          <c:chart xmlns:c="http://schemas.openxmlformats.org/drawingml/2006/chart" r:id="rId4"/>
        </a:graphicData>
      </a:graphic>
    </xdr:graphicFrame>
    <xdr:clientData/>
  </xdr:twoCellAnchor>
  <xdr:twoCellAnchor>
    <xdr:from>
      <xdr:col>20</xdr:col>
      <xdr:colOff>28575</xdr:colOff>
      <xdr:row>42</xdr:row>
      <xdr:rowOff>161925</xdr:rowOff>
    </xdr:from>
    <xdr:to>
      <xdr:col>30</xdr:col>
      <xdr:colOff>19050</xdr:colOff>
      <xdr:row>46</xdr:row>
      <xdr:rowOff>142875</xdr:rowOff>
    </xdr:to>
    <xdr:graphicFrame>
      <xdr:nvGraphicFramePr>
        <xdr:cNvPr id="5" name="Graphique 5"/>
        <xdr:cNvGraphicFramePr/>
      </xdr:nvGraphicFramePr>
      <xdr:xfrm>
        <a:off x="5743575" y="11877675"/>
        <a:ext cx="3419475" cy="914400"/>
      </xdr:xfrm>
      <a:graphic>
        <a:graphicData uri="http://schemas.openxmlformats.org/drawingml/2006/chart">
          <c:chart xmlns:c="http://schemas.openxmlformats.org/drawingml/2006/chart" r:id="rId5"/>
        </a:graphicData>
      </a:graphic>
    </xdr:graphicFrame>
    <xdr:clientData/>
  </xdr:twoCellAnchor>
  <xdr:twoCellAnchor>
    <xdr:from>
      <xdr:col>2</xdr:col>
      <xdr:colOff>66675</xdr:colOff>
      <xdr:row>5</xdr:row>
      <xdr:rowOff>76200</xdr:rowOff>
    </xdr:from>
    <xdr:to>
      <xdr:col>30</xdr:col>
      <xdr:colOff>190500</xdr:colOff>
      <xdr:row>22</xdr:row>
      <xdr:rowOff>228600</xdr:rowOff>
    </xdr:to>
    <xdr:graphicFrame>
      <xdr:nvGraphicFramePr>
        <xdr:cNvPr id="6" name="Graphique 6"/>
        <xdr:cNvGraphicFramePr/>
      </xdr:nvGraphicFramePr>
      <xdr:xfrm>
        <a:off x="466725" y="1209675"/>
        <a:ext cx="8867775" cy="5953125"/>
      </xdr:xfrm>
      <a:graphic>
        <a:graphicData uri="http://schemas.openxmlformats.org/drawingml/2006/chart">
          <c:chart xmlns:c="http://schemas.openxmlformats.org/drawingml/2006/chart" r:id="rId6"/>
        </a:graphicData>
      </a:graphic>
    </xdr:graphicFrame>
    <xdr:clientData/>
  </xdr:twoCellAnchor>
  <xdr:twoCellAnchor>
    <xdr:from>
      <xdr:col>20</xdr:col>
      <xdr:colOff>28575</xdr:colOff>
      <xdr:row>38</xdr:row>
      <xdr:rowOff>161925</xdr:rowOff>
    </xdr:from>
    <xdr:to>
      <xdr:col>30</xdr:col>
      <xdr:colOff>19050</xdr:colOff>
      <xdr:row>42</xdr:row>
      <xdr:rowOff>161925</xdr:rowOff>
    </xdr:to>
    <xdr:graphicFrame>
      <xdr:nvGraphicFramePr>
        <xdr:cNvPr id="7" name="Graphique 7"/>
        <xdr:cNvGraphicFramePr/>
      </xdr:nvGraphicFramePr>
      <xdr:xfrm>
        <a:off x="5743575" y="10944225"/>
        <a:ext cx="3419475" cy="933450"/>
      </xdr:xfrm>
      <a:graphic>
        <a:graphicData uri="http://schemas.openxmlformats.org/drawingml/2006/chart">
          <c:chart xmlns:c="http://schemas.openxmlformats.org/drawingml/2006/chart" r:id="rId7"/>
        </a:graphicData>
      </a:graphic>
    </xdr:graphicFrame>
    <xdr:clientData/>
  </xdr:twoCellAnchor>
  <xdr:twoCellAnchor>
    <xdr:from>
      <xdr:col>7</xdr:col>
      <xdr:colOff>142875</xdr:colOff>
      <xdr:row>11</xdr:row>
      <xdr:rowOff>323850</xdr:rowOff>
    </xdr:from>
    <xdr:to>
      <xdr:col>31</xdr:col>
      <xdr:colOff>38100</xdr:colOff>
      <xdr:row>11</xdr:row>
      <xdr:rowOff>323850</xdr:rowOff>
    </xdr:to>
    <xdr:sp>
      <xdr:nvSpPr>
        <xdr:cNvPr id="8" name="Line 8"/>
        <xdr:cNvSpPr>
          <a:spLocks/>
        </xdr:cNvSpPr>
      </xdr:nvSpPr>
      <xdr:spPr>
        <a:xfrm>
          <a:off x="1543050" y="3381375"/>
          <a:ext cx="7981950" cy="0"/>
        </a:xfrm>
        <a:prstGeom prst="line">
          <a:avLst/>
        </a:prstGeom>
        <a:noFill/>
        <a:ln w="3600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38100</xdr:colOff>
      <xdr:row>52</xdr:row>
      <xdr:rowOff>114300</xdr:rowOff>
    </xdr:from>
    <xdr:to>
      <xdr:col>60</xdr:col>
      <xdr:colOff>9525</xdr:colOff>
      <xdr:row>54</xdr:row>
      <xdr:rowOff>142875</xdr:rowOff>
    </xdr:to>
    <xdr:sp fLocksText="0">
      <xdr:nvSpPr>
        <xdr:cNvPr id="9" name="Text 9"/>
        <xdr:cNvSpPr txBox="1">
          <a:spLocks noChangeArrowheads="1"/>
        </xdr:cNvSpPr>
      </xdr:nvSpPr>
      <xdr:spPr>
        <a:xfrm>
          <a:off x="15420975" y="13677900"/>
          <a:ext cx="571500" cy="333375"/>
        </a:xfrm>
        <a:prstGeom prst="rect">
          <a:avLst/>
        </a:prstGeom>
        <a:noFill/>
        <a:ln w="9525" cmpd="sng">
          <a:noFill/>
        </a:ln>
      </xdr:spPr>
      <xdr:txBody>
        <a:bodyPr vertOverflow="clip" wrap="square" lIns="0" tIns="0" rIns="0" bIns="0"/>
        <a:p>
          <a:pPr algn="l">
            <a:defRPr/>
          </a:pPr>
          <a:r>
            <a:rPr lang="en-US" cap="none" sz="1600" b="1" i="0" u="none" baseline="0">
              <a:solidFill>
                <a:srgbClr val="008000"/>
              </a:solidFill>
            </a:rPr>
            <a:t>60%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28</xdr:row>
      <xdr:rowOff>47625</xdr:rowOff>
    </xdr:from>
    <xdr:to>
      <xdr:col>7</xdr:col>
      <xdr:colOff>276225</xdr:colOff>
      <xdr:row>42</xdr:row>
      <xdr:rowOff>0</xdr:rowOff>
    </xdr:to>
    <xdr:graphicFrame>
      <xdr:nvGraphicFramePr>
        <xdr:cNvPr id="1" name="Graphique 1"/>
        <xdr:cNvGraphicFramePr/>
      </xdr:nvGraphicFramePr>
      <xdr:xfrm>
        <a:off x="885825" y="12049125"/>
        <a:ext cx="9667875" cy="2457450"/>
      </xdr:xfrm>
      <a:graphic>
        <a:graphicData uri="http://schemas.openxmlformats.org/drawingml/2006/chart">
          <c:chart xmlns:c="http://schemas.openxmlformats.org/drawingml/2006/chart" r:id="rId1"/>
        </a:graphicData>
      </a:graphic>
    </xdr:graphicFrame>
    <xdr:clientData/>
  </xdr:twoCellAnchor>
  <xdr:twoCellAnchor>
    <xdr:from>
      <xdr:col>2</xdr:col>
      <xdr:colOff>695325</xdr:colOff>
      <xdr:row>34</xdr:row>
      <xdr:rowOff>123825</xdr:rowOff>
    </xdr:from>
    <xdr:to>
      <xdr:col>7</xdr:col>
      <xdr:colOff>666750</xdr:colOff>
      <xdr:row>34</xdr:row>
      <xdr:rowOff>123825</xdr:rowOff>
    </xdr:to>
    <xdr:sp>
      <xdr:nvSpPr>
        <xdr:cNvPr id="2" name="Line 2"/>
        <xdr:cNvSpPr>
          <a:spLocks/>
        </xdr:cNvSpPr>
      </xdr:nvSpPr>
      <xdr:spPr>
        <a:xfrm flipV="1">
          <a:off x="1857375" y="13335000"/>
          <a:ext cx="9086850" cy="0"/>
        </a:xfrm>
        <a:prstGeom prst="line">
          <a:avLst/>
        </a:prstGeom>
        <a:noFill/>
        <a:ln w="3600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33</xdr:row>
      <xdr:rowOff>85725</xdr:rowOff>
    </xdr:from>
    <xdr:to>
      <xdr:col>7</xdr:col>
      <xdr:colOff>752475</xdr:colOff>
      <xdr:row>34</xdr:row>
      <xdr:rowOff>152400</xdr:rowOff>
    </xdr:to>
    <xdr:sp fLocksText="0">
      <xdr:nvSpPr>
        <xdr:cNvPr id="3" name="Text 3"/>
        <xdr:cNvSpPr txBox="1">
          <a:spLocks noChangeArrowheads="1"/>
        </xdr:cNvSpPr>
      </xdr:nvSpPr>
      <xdr:spPr>
        <a:xfrm>
          <a:off x="10487025" y="13134975"/>
          <a:ext cx="542925" cy="228600"/>
        </a:xfrm>
        <a:prstGeom prst="rect">
          <a:avLst/>
        </a:prstGeom>
        <a:noFill/>
        <a:ln w="9525" cmpd="sng">
          <a:noFill/>
        </a:ln>
      </xdr:spPr>
      <xdr:txBody>
        <a:bodyPr vertOverflow="clip" wrap="square" lIns="0" tIns="0" rIns="0" bIns="0"/>
        <a:p>
          <a:pPr algn="l">
            <a:defRPr/>
          </a:pPr>
          <a:r>
            <a:rPr lang="en-US" cap="none" sz="1600" b="1" i="0" u="none" baseline="0">
              <a:solidFill>
                <a:srgbClr val="008000"/>
              </a:solidFill>
            </a:rPr>
            <a:t>60%</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0.20775</cdr:x>
      <cdr:y>0.89975</cdr:y>
    </cdr:from>
    <cdr:to>
      <cdr:x>0.20775</cdr:x>
      <cdr:y>0.89975</cdr:y>
    </cdr:to>
    <cdr:sp fLocksText="0">
      <cdr:nvSpPr>
        <cdr:cNvPr id="1" name="Text Box 1"/>
        <cdr:cNvSpPr txBox="1">
          <a:spLocks noChangeArrowheads="1"/>
        </cdr:cNvSpPr>
      </cdr:nvSpPr>
      <cdr:spPr>
        <a:xfrm>
          <a:off x="704850" y="819150"/>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0.20775</cdr:x>
      <cdr:y>0.89975</cdr:y>
    </cdr:from>
    <cdr:to>
      <cdr:x>0.20775</cdr:x>
      <cdr:y>0.89975</cdr:y>
    </cdr:to>
    <cdr:sp fLocksText="0">
      <cdr:nvSpPr>
        <cdr:cNvPr id="2" name="Text Box 2"/>
        <cdr:cNvSpPr txBox="1">
          <a:spLocks noChangeArrowheads="1"/>
        </cdr:cNvSpPr>
      </cdr:nvSpPr>
      <cdr:spPr>
        <a:xfrm>
          <a:off x="704850" y="819150"/>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0.20775</cdr:x>
      <cdr:y>0.89975</cdr:y>
    </cdr:from>
    <cdr:to>
      <cdr:x>0.20775</cdr:x>
      <cdr:y>0.89975</cdr:y>
    </cdr:to>
    <cdr:sp fLocksText="0">
      <cdr:nvSpPr>
        <cdr:cNvPr id="3" name="Text Box 3"/>
        <cdr:cNvSpPr txBox="1">
          <a:spLocks noChangeArrowheads="1"/>
        </cdr:cNvSpPr>
      </cdr:nvSpPr>
      <cdr:spPr>
        <a:xfrm>
          <a:off x="704850" y="819150"/>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0.20775</cdr:x>
      <cdr:y>0.89975</cdr:y>
    </cdr:from>
    <cdr:to>
      <cdr:x>0.20775</cdr:x>
      <cdr:y>0.89975</cdr:y>
    </cdr:to>
    <cdr:sp fLocksText="0">
      <cdr:nvSpPr>
        <cdr:cNvPr id="4" name="Text Box 4"/>
        <cdr:cNvSpPr txBox="1">
          <a:spLocks noChangeArrowheads="1"/>
        </cdr:cNvSpPr>
      </cdr:nvSpPr>
      <cdr:spPr>
        <a:xfrm>
          <a:off x="704850" y="819150"/>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0.20775</cdr:x>
      <cdr:y>0.90775</cdr:y>
    </cdr:from>
    <cdr:to>
      <cdr:x>0.20775</cdr:x>
      <cdr:y>0.90775</cdr:y>
    </cdr:to>
    <cdr:sp fLocksText="0">
      <cdr:nvSpPr>
        <cdr:cNvPr id="1" name="Text Box 1"/>
        <cdr:cNvSpPr txBox="1">
          <a:spLocks noChangeArrowheads="1"/>
        </cdr:cNvSpPr>
      </cdr:nvSpPr>
      <cdr:spPr>
        <a:xfrm>
          <a:off x="704850" y="819150"/>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0.20775</cdr:x>
      <cdr:y>0.90775</cdr:y>
    </cdr:from>
    <cdr:to>
      <cdr:x>0.20775</cdr:x>
      <cdr:y>0.90775</cdr:y>
    </cdr:to>
    <cdr:sp fLocksText="0">
      <cdr:nvSpPr>
        <cdr:cNvPr id="2" name="Text Box 2"/>
        <cdr:cNvSpPr txBox="1">
          <a:spLocks noChangeArrowheads="1"/>
        </cdr:cNvSpPr>
      </cdr:nvSpPr>
      <cdr:spPr>
        <a:xfrm>
          <a:off x="704850" y="819150"/>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0.20775</cdr:x>
      <cdr:y>0.90775</cdr:y>
    </cdr:from>
    <cdr:to>
      <cdr:x>0.20775</cdr:x>
      <cdr:y>0.90775</cdr:y>
    </cdr:to>
    <cdr:sp fLocksText="0">
      <cdr:nvSpPr>
        <cdr:cNvPr id="3" name="Text Box 3"/>
        <cdr:cNvSpPr txBox="1">
          <a:spLocks noChangeArrowheads="1"/>
        </cdr:cNvSpPr>
      </cdr:nvSpPr>
      <cdr:spPr>
        <a:xfrm>
          <a:off x="704850" y="819150"/>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0.20775</cdr:x>
      <cdr:y>0.90775</cdr:y>
    </cdr:from>
    <cdr:to>
      <cdr:x>0.20775</cdr:x>
      <cdr:y>0.90775</cdr:y>
    </cdr:to>
    <cdr:sp fLocksText="0">
      <cdr:nvSpPr>
        <cdr:cNvPr id="4" name="Text Box 4"/>
        <cdr:cNvSpPr txBox="1">
          <a:spLocks noChangeArrowheads="1"/>
        </cdr:cNvSpPr>
      </cdr:nvSpPr>
      <cdr:spPr>
        <a:xfrm>
          <a:off x="704850" y="819150"/>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0.20925</cdr:x>
      <cdr:y>0.8605</cdr:y>
    </cdr:from>
    <cdr:to>
      <cdr:x>0.20925</cdr:x>
      <cdr:y>0.8605</cdr:y>
    </cdr:to>
    <cdr:sp fLocksText="0">
      <cdr:nvSpPr>
        <cdr:cNvPr id="1" name="Text Box 1"/>
        <cdr:cNvSpPr txBox="1">
          <a:spLocks noChangeArrowheads="1"/>
        </cdr:cNvSpPr>
      </cdr:nvSpPr>
      <cdr:spPr>
        <a:xfrm>
          <a:off x="714375" y="77152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0.20925</cdr:x>
      <cdr:y>0.8605</cdr:y>
    </cdr:from>
    <cdr:to>
      <cdr:x>0.20925</cdr:x>
      <cdr:y>0.8605</cdr:y>
    </cdr:to>
    <cdr:sp fLocksText="0">
      <cdr:nvSpPr>
        <cdr:cNvPr id="2" name="Text Box 2"/>
        <cdr:cNvSpPr txBox="1">
          <a:spLocks noChangeArrowheads="1"/>
        </cdr:cNvSpPr>
      </cdr:nvSpPr>
      <cdr:spPr>
        <a:xfrm>
          <a:off x="714375" y="77152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0.20925</cdr:x>
      <cdr:y>0.8605</cdr:y>
    </cdr:from>
    <cdr:to>
      <cdr:x>0.20925</cdr:x>
      <cdr:y>0.8605</cdr:y>
    </cdr:to>
    <cdr:sp fLocksText="0">
      <cdr:nvSpPr>
        <cdr:cNvPr id="3" name="Text Box 3"/>
        <cdr:cNvSpPr txBox="1">
          <a:spLocks noChangeArrowheads="1"/>
        </cdr:cNvSpPr>
      </cdr:nvSpPr>
      <cdr:spPr>
        <a:xfrm>
          <a:off x="714375" y="77152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0.20925</cdr:x>
      <cdr:y>0.8605</cdr:y>
    </cdr:from>
    <cdr:to>
      <cdr:x>0.20925</cdr:x>
      <cdr:y>0.8605</cdr:y>
    </cdr:to>
    <cdr:sp fLocksText="0">
      <cdr:nvSpPr>
        <cdr:cNvPr id="4" name="Text Box 4"/>
        <cdr:cNvSpPr txBox="1">
          <a:spLocks noChangeArrowheads="1"/>
        </cdr:cNvSpPr>
      </cdr:nvSpPr>
      <cdr:spPr>
        <a:xfrm>
          <a:off x="714375" y="77152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0.20775</cdr:x>
      <cdr:y>0.905</cdr:y>
    </cdr:from>
    <cdr:to>
      <cdr:x>0.20775</cdr:x>
      <cdr:y>0.905</cdr:y>
    </cdr:to>
    <cdr:sp fLocksText="0">
      <cdr:nvSpPr>
        <cdr:cNvPr id="1" name="Text Box 1"/>
        <cdr:cNvSpPr txBox="1">
          <a:spLocks noChangeArrowheads="1"/>
        </cdr:cNvSpPr>
      </cdr:nvSpPr>
      <cdr:spPr>
        <a:xfrm>
          <a:off x="704850" y="80962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0.20775</cdr:x>
      <cdr:y>0.905</cdr:y>
    </cdr:from>
    <cdr:to>
      <cdr:x>0.20775</cdr:x>
      <cdr:y>0.905</cdr:y>
    </cdr:to>
    <cdr:sp fLocksText="0">
      <cdr:nvSpPr>
        <cdr:cNvPr id="2" name="Text Box 2"/>
        <cdr:cNvSpPr txBox="1">
          <a:spLocks noChangeArrowheads="1"/>
        </cdr:cNvSpPr>
      </cdr:nvSpPr>
      <cdr:spPr>
        <a:xfrm>
          <a:off x="704850" y="80962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0.20775</cdr:x>
      <cdr:y>0.905</cdr:y>
    </cdr:from>
    <cdr:to>
      <cdr:x>0.20775</cdr:x>
      <cdr:y>0.905</cdr:y>
    </cdr:to>
    <cdr:sp fLocksText="0">
      <cdr:nvSpPr>
        <cdr:cNvPr id="3" name="Text Box 3"/>
        <cdr:cNvSpPr txBox="1">
          <a:spLocks noChangeArrowheads="1"/>
        </cdr:cNvSpPr>
      </cdr:nvSpPr>
      <cdr:spPr>
        <a:xfrm>
          <a:off x="704850" y="80962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0.20775</cdr:x>
      <cdr:y>0.905</cdr:y>
    </cdr:from>
    <cdr:to>
      <cdr:x>0.20775</cdr:x>
      <cdr:y>0.905</cdr:y>
    </cdr:to>
    <cdr:sp fLocksText="0">
      <cdr:nvSpPr>
        <cdr:cNvPr id="4" name="Text Box 4"/>
        <cdr:cNvSpPr txBox="1">
          <a:spLocks noChangeArrowheads="1"/>
        </cdr:cNvSpPr>
      </cdr:nvSpPr>
      <cdr:spPr>
        <a:xfrm>
          <a:off x="704850" y="80962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cdr:x>
      <cdr:y>0.8685</cdr:y>
    </cdr:from>
    <cdr:to>
      <cdr:x>0.21</cdr:x>
      <cdr:y>0.8685</cdr:y>
    </cdr:to>
    <cdr:sp fLocksText="0">
      <cdr:nvSpPr>
        <cdr:cNvPr id="1" name="Text Box 1"/>
        <cdr:cNvSpPr txBox="1">
          <a:spLocks noChangeArrowheads="1"/>
        </cdr:cNvSpPr>
      </cdr:nvSpPr>
      <cdr:spPr>
        <a:xfrm>
          <a:off x="714375" y="7905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cdr:x>
      <cdr:y>0.8685</cdr:y>
    </cdr:from>
    <cdr:to>
      <cdr:x>0.21</cdr:x>
      <cdr:y>0.8685</cdr:y>
    </cdr:to>
    <cdr:sp fLocksText="0">
      <cdr:nvSpPr>
        <cdr:cNvPr id="2" name="Text Box 2"/>
        <cdr:cNvSpPr txBox="1">
          <a:spLocks noChangeArrowheads="1"/>
        </cdr:cNvSpPr>
      </cdr:nvSpPr>
      <cdr:spPr>
        <a:xfrm>
          <a:off x="714375" y="7905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cdr:x>
      <cdr:y>0.8685</cdr:y>
    </cdr:from>
    <cdr:to>
      <cdr:x>0.21</cdr:x>
      <cdr:y>0.8685</cdr:y>
    </cdr:to>
    <cdr:sp fLocksText="0">
      <cdr:nvSpPr>
        <cdr:cNvPr id="3" name="Text Box 3"/>
        <cdr:cNvSpPr txBox="1">
          <a:spLocks noChangeArrowheads="1"/>
        </cdr:cNvSpPr>
      </cdr:nvSpPr>
      <cdr:spPr>
        <a:xfrm>
          <a:off x="714375" y="7905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cdr:x>
      <cdr:y>0.8685</cdr:y>
    </cdr:from>
    <cdr:to>
      <cdr:x>0.21</cdr:x>
      <cdr:y>0.8685</cdr:y>
    </cdr:to>
    <cdr:sp fLocksText="0">
      <cdr:nvSpPr>
        <cdr:cNvPr id="4" name="Text Box 4"/>
        <cdr:cNvSpPr txBox="1">
          <a:spLocks noChangeArrowheads="1"/>
        </cdr:cNvSpPr>
      </cdr:nvSpPr>
      <cdr:spPr>
        <a:xfrm>
          <a:off x="714375" y="7905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0.09775</cdr:x>
      <cdr:y>0.94575</cdr:y>
    </cdr:from>
    <cdr:to>
      <cdr:x>0.09775</cdr:x>
      <cdr:y>0.94575</cdr:y>
    </cdr:to>
    <cdr:sp fLocksText="0">
      <cdr:nvSpPr>
        <cdr:cNvPr id="1" name="Text Box 1"/>
        <cdr:cNvSpPr txBox="1">
          <a:spLocks noChangeArrowheads="1"/>
        </cdr:cNvSpPr>
      </cdr:nvSpPr>
      <cdr:spPr>
        <a:xfrm>
          <a:off x="866775" y="56292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0.09775</cdr:x>
      <cdr:y>0.94575</cdr:y>
    </cdr:from>
    <cdr:to>
      <cdr:x>0.09775</cdr:x>
      <cdr:y>0.94575</cdr:y>
    </cdr:to>
    <cdr:sp fLocksText="0">
      <cdr:nvSpPr>
        <cdr:cNvPr id="2" name="Text Box 2"/>
        <cdr:cNvSpPr txBox="1">
          <a:spLocks noChangeArrowheads="1"/>
        </cdr:cNvSpPr>
      </cdr:nvSpPr>
      <cdr:spPr>
        <a:xfrm>
          <a:off x="866775" y="56292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0.09775</cdr:x>
      <cdr:y>0.94575</cdr:y>
    </cdr:from>
    <cdr:to>
      <cdr:x>0.09775</cdr:x>
      <cdr:y>0.94575</cdr:y>
    </cdr:to>
    <cdr:sp fLocksText="0">
      <cdr:nvSpPr>
        <cdr:cNvPr id="3" name="Text Box 3"/>
        <cdr:cNvSpPr txBox="1">
          <a:spLocks noChangeArrowheads="1"/>
        </cdr:cNvSpPr>
      </cdr:nvSpPr>
      <cdr:spPr>
        <a:xfrm>
          <a:off x="866775" y="56292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0.09775</cdr:x>
      <cdr:y>0.94575</cdr:y>
    </cdr:from>
    <cdr:to>
      <cdr:x>0.09775</cdr:x>
      <cdr:y>0.94575</cdr:y>
    </cdr:to>
    <cdr:sp fLocksText="0">
      <cdr:nvSpPr>
        <cdr:cNvPr id="4" name="Text Box 4"/>
        <cdr:cNvSpPr txBox="1">
          <a:spLocks noChangeArrowheads="1"/>
        </cdr:cNvSpPr>
      </cdr:nvSpPr>
      <cdr:spPr>
        <a:xfrm>
          <a:off x="866775" y="56292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0.09775</cdr:x>
      <cdr:y>0.94575</cdr:y>
    </cdr:from>
    <cdr:to>
      <cdr:x>0.09775</cdr:x>
      <cdr:y>0.94575</cdr:y>
    </cdr:to>
    <cdr:sp fLocksText="0">
      <cdr:nvSpPr>
        <cdr:cNvPr id="5" name="Text Box 5"/>
        <cdr:cNvSpPr txBox="1">
          <a:spLocks noChangeArrowheads="1"/>
        </cdr:cNvSpPr>
      </cdr:nvSpPr>
      <cdr:spPr>
        <a:xfrm>
          <a:off x="866775" y="56292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0.09775</cdr:x>
      <cdr:y>0.94575</cdr:y>
    </cdr:from>
    <cdr:to>
      <cdr:x>0.09775</cdr:x>
      <cdr:y>0.94575</cdr:y>
    </cdr:to>
    <cdr:sp fLocksText="0">
      <cdr:nvSpPr>
        <cdr:cNvPr id="6" name="Text Box 6"/>
        <cdr:cNvSpPr txBox="1">
          <a:spLocks noChangeArrowheads="1"/>
        </cdr:cNvSpPr>
      </cdr:nvSpPr>
      <cdr:spPr>
        <a:xfrm>
          <a:off x="866775" y="56292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0.09775</cdr:x>
      <cdr:y>0.94575</cdr:y>
    </cdr:from>
    <cdr:to>
      <cdr:x>0.09775</cdr:x>
      <cdr:y>0.94575</cdr:y>
    </cdr:to>
    <cdr:sp fLocksText="0">
      <cdr:nvSpPr>
        <cdr:cNvPr id="7" name="Text Box 7"/>
        <cdr:cNvSpPr txBox="1">
          <a:spLocks noChangeArrowheads="1"/>
        </cdr:cNvSpPr>
      </cdr:nvSpPr>
      <cdr:spPr>
        <a:xfrm>
          <a:off x="866775" y="56292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0.09775</cdr:x>
      <cdr:y>0.94575</cdr:y>
    </cdr:from>
    <cdr:to>
      <cdr:x>0.09775</cdr:x>
      <cdr:y>0.94575</cdr:y>
    </cdr:to>
    <cdr:sp fLocksText="0">
      <cdr:nvSpPr>
        <cdr:cNvPr id="8" name="Text Box 8"/>
        <cdr:cNvSpPr txBox="1">
          <a:spLocks noChangeArrowheads="1"/>
        </cdr:cNvSpPr>
      </cdr:nvSpPr>
      <cdr:spPr>
        <a:xfrm>
          <a:off x="866775" y="56292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0.09775</cdr:x>
      <cdr:y>0.94575</cdr:y>
    </cdr:from>
    <cdr:to>
      <cdr:x>0.09775</cdr:x>
      <cdr:y>0.94575</cdr:y>
    </cdr:to>
    <cdr:sp fLocksText="0">
      <cdr:nvSpPr>
        <cdr:cNvPr id="9" name="Text Box 9"/>
        <cdr:cNvSpPr txBox="1">
          <a:spLocks noChangeArrowheads="1"/>
        </cdr:cNvSpPr>
      </cdr:nvSpPr>
      <cdr:spPr>
        <a:xfrm>
          <a:off x="866775" y="56292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0.09775</cdr:x>
      <cdr:y>0.94575</cdr:y>
    </cdr:from>
    <cdr:to>
      <cdr:x>0.09775</cdr:x>
      <cdr:y>0.94575</cdr:y>
    </cdr:to>
    <cdr:sp fLocksText="0">
      <cdr:nvSpPr>
        <cdr:cNvPr id="10" name="Text Box 10"/>
        <cdr:cNvSpPr txBox="1">
          <a:spLocks noChangeArrowheads="1"/>
        </cdr:cNvSpPr>
      </cdr:nvSpPr>
      <cdr:spPr>
        <a:xfrm>
          <a:off x="866775" y="56292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0.09775</cdr:x>
      <cdr:y>0.94575</cdr:y>
    </cdr:from>
    <cdr:to>
      <cdr:x>0.09775</cdr:x>
      <cdr:y>0.94575</cdr:y>
    </cdr:to>
    <cdr:sp fLocksText="0">
      <cdr:nvSpPr>
        <cdr:cNvPr id="11" name="Text Box 11"/>
        <cdr:cNvSpPr txBox="1">
          <a:spLocks noChangeArrowheads="1"/>
        </cdr:cNvSpPr>
      </cdr:nvSpPr>
      <cdr:spPr>
        <a:xfrm>
          <a:off x="866775" y="56292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0.09775</cdr:x>
      <cdr:y>0.94575</cdr:y>
    </cdr:from>
    <cdr:to>
      <cdr:x>0.09775</cdr:x>
      <cdr:y>0.94575</cdr:y>
    </cdr:to>
    <cdr:sp fLocksText="0">
      <cdr:nvSpPr>
        <cdr:cNvPr id="12" name="Text Box 12"/>
        <cdr:cNvSpPr txBox="1">
          <a:spLocks noChangeArrowheads="1"/>
        </cdr:cNvSpPr>
      </cdr:nvSpPr>
      <cdr:spPr>
        <a:xfrm>
          <a:off x="866775" y="56292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0.09775</cdr:x>
      <cdr:y>0.94575</cdr:y>
    </cdr:from>
    <cdr:to>
      <cdr:x>0.09775</cdr:x>
      <cdr:y>0.94575</cdr:y>
    </cdr:to>
    <cdr:sp fLocksText="0">
      <cdr:nvSpPr>
        <cdr:cNvPr id="13" name="Text Box 13"/>
        <cdr:cNvSpPr txBox="1">
          <a:spLocks noChangeArrowheads="1"/>
        </cdr:cNvSpPr>
      </cdr:nvSpPr>
      <cdr:spPr>
        <a:xfrm>
          <a:off x="866775" y="56292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0.09775</cdr:x>
      <cdr:y>0.94575</cdr:y>
    </cdr:from>
    <cdr:to>
      <cdr:x>0.09775</cdr:x>
      <cdr:y>0.94575</cdr:y>
    </cdr:to>
    <cdr:sp fLocksText="0">
      <cdr:nvSpPr>
        <cdr:cNvPr id="14" name="Text Box 14"/>
        <cdr:cNvSpPr txBox="1">
          <a:spLocks noChangeArrowheads="1"/>
        </cdr:cNvSpPr>
      </cdr:nvSpPr>
      <cdr:spPr>
        <a:xfrm>
          <a:off x="866775" y="56292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0.09775</cdr:x>
      <cdr:y>0.94575</cdr:y>
    </cdr:from>
    <cdr:to>
      <cdr:x>0.09775</cdr:x>
      <cdr:y>0.94575</cdr:y>
    </cdr:to>
    <cdr:sp fLocksText="0">
      <cdr:nvSpPr>
        <cdr:cNvPr id="15" name="Text Box 15"/>
        <cdr:cNvSpPr txBox="1">
          <a:spLocks noChangeArrowheads="1"/>
        </cdr:cNvSpPr>
      </cdr:nvSpPr>
      <cdr:spPr>
        <a:xfrm>
          <a:off x="866775" y="56292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0.09775</cdr:x>
      <cdr:y>0.94575</cdr:y>
    </cdr:from>
    <cdr:to>
      <cdr:x>0.09775</cdr:x>
      <cdr:y>0.94575</cdr:y>
    </cdr:to>
    <cdr:sp fLocksText="0">
      <cdr:nvSpPr>
        <cdr:cNvPr id="16" name="Text Box 16"/>
        <cdr:cNvSpPr txBox="1">
          <a:spLocks noChangeArrowheads="1"/>
        </cdr:cNvSpPr>
      </cdr:nvSpPr>
      <cdr:spPr>
        <a:xfrm>
          <a:off x="866775" y="562927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cdr:x>
      <cdr:y>0.90625</cdr:y>
    </cdr:from>
    <cdr:to>
      <cdr:x>0.21</cdr:x>
      <cdr:y>0.90625</cdr:y>
    </cdr:to>
    <cdr:sp fLocksText="0">
      <cdr:nvSpPr>
        <cdr:cNvPr id="1" name="Text Box 1"/>
        <cdr:cNvSpPr txBox="1">
          <a:spLocks noChangeArrowheads="1"/>
        </cdr:cNvSpPr>
      </cdr:nvSpPr>
      <cdr:spPr>
        <a:xfrm>
          <a:off x="714375" y="838200"/>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cdr:x>
      <cdr:y>0.90625</cdr:y>
    </cdr:from>
    <cdr:to>
      <cdr:x>0.21</cdr:x>
      <cdr:y>0.90625</cdr:y>
    </cdr:to>
    <cdr:sp fLocksText="0">
      <cdr:nvSpPr>
        <cdr:cNvPr id="2" name="Text Box 2"/>
        <cdr:cNvSpPr txBox="1">
          <a:spLocks noChangeArrowheads="1"/>
        </cdr:cNvSpPr>
      </cdr:nvSpPr>
      <cdr:spPr>
        <a:xfrm>
          <a:off x="714375" y="838200"/>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cdr:x>
      <cdr:y>0.90625</cdr:y>
    </cdr:from>
    <cdr:to>
      <cdr:x>0.21</cdr:x>
      <cdr:y>0.90625</cdr:y>
    </cdr:to>
    <cdr:sp fLocksText="0">
      <cdr:nvSpPr>
        <cdr:cNvPr id="3" name="Text Box 3"/>
        <cdr:cNvSpPr txBox="1">
          <a:spLocks noChangeArrowheads="1"/>
        </cdr:cNvSpPr>
      </cdr:nvSpPr>
      <cdr:spPr>
        <a:xfrm>
          <a:off x="714375" y="838200"/>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cdr:x>
      <cdr:y>0.90625</cdr:y>
    </cdr:from>
    <cdr:to>
      <cdr:x>0.21</cdr:x>
      <cdr:y>0.90625</cdr:y>
    </cdr:to>
    <cdr:sp fLocksText="0">
      <cdr:nvSpPr>
        <cdr:cNvPr id="4" name="Text Box 4"/>
        <cdr:cNvSpPr txBox="1">
          <a:spLocks noChangeArrowheads="1"/>
        </cdr:cNvSpPr>
      </cdr:nvSpPr>
      <cdr:spPr>
        <a:xfrm>
          <a:off x="714375" y="838200"/>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6.xml.rels><?xml version="1.0" encoding="utf-8" standalone="yes"?><Relationships xmlns="http://schemas.openxmlformats.org/package/2006/relationships"><Relationship Id="rId1" Type="http://schemas.openxmlformats.org/officeDocument/2006/relationships/hyperlink" Target="http://minilien.fr/a0mqvk" TargetMode="External" /><Relationship Id="rId2" Type="http://schemas.openxmlformats.org/officeDocument/2006/relationships/hyperlink" Target="http://minilien.fr/a0nnxo" TargetMode="External" /><Relationship Id="rId3" Type="http://schemas.openxmlformats.org/officeDocument/2006/relationships/hyperlink" Target="http://minilien.fr/a0nnxo" TargetMode="External" /><Relationship Id="rId4" Type="http://schemas.openxmlformats.org/officeDocument/2006/relationships/hyperlink" Target="http://minilien.fr/a0nnxo" TargetMode="External" /><Relationship Id="rId5" Type="http://schemas.openxmlformats.org/officeDocument/2006/relationships/hyperlink" Target="http://minilien.fr/a0nnxo" TargetMode="External" /><Relationship Id="rId6" Type="http://schemas.openxmlformats.org/officeDocument/2006/relationships/hyperlink" Target="http://minilien.fr/a0nnxo" TargetMode="External" /><Relationship Id="rId7" Type="http://schemas.openxmlformats.org/officeDocument/2006/relationships/hyperlink" Target="http://minilien.fr/a0nnxo"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K35"/>
  <sheetViews>
    <sheetView showGridLines="0" zoomScale="110" zoomScaleNormal="110" zoomScaleSheetLayoutView="90" workbookViewId="0" topLeftCell="A1">
      <selection activeCell="H7" sqref="H7"/>
    </sheetView>
  </sheetViews>
  <sheetFormatPr defaultColWidth="0" defaultRowHeight="12.75" zeroHeight="1"/>
  <cols>
    <col min="1" max="1" width="11.8515625" style="1" customWidth="1"/>
    <col min="2" max="2" width="3.7109375" style="2" customWidth="1"/>
    <col min="3" max="3" width="28.28125" style="3" customWidth="1"/>
    <col min="4" max="4" width="28.421875" style="4" customWidth="1"/>
    <col min="5" max="5" width="3.8515625" style="2" customWidth="1"/>
    <col min="6" max="6" width="8.00390625" style="2" customWidth="1"/>
    <col min="7" max="7" width="4.00390625" style="2" customWidth="1"/>
    <col min="8" max="8" width="39.00390625" style="2" customWidth="1"/>
    <col min="9" max="10" width="0" style="2" hidden="1" customWidth="1"/>
    <col min="11" max="11" width="8.00390625" style="1" customWidth="1"/>
    <col min="12" max="16384" width="0" style="2" hidden="1" customWidth="1"/>
  </cols>
  <sheetData>
    <row r="1" spans="1:4" ht="27" customHeight="1">
      <c r="A1" s="5" t="s">
        <v>0</v>
      </c>
      <c r="C1" s="188" t="s">
        <v>1</v>
      </c>
      <c r="D1" s="188"/>
    </row>
    <row r="2" spans="1:11" s="9" customFormat="1" ht="12" customHeight="1">
      <c r="A2" s="1"/>
      <c r="B2" s="2"/>
      <c r="C2"/>
      <c r="D2" s="6"/>
      <c r="E2" s="2"/>
      <c r="F2" s="2"/>
      <c r="G2" s="2"/>
      <c r="H2" s="7"/>
      <c r="I2" s="7">
        <v>0</v>
      </c>
      <c r="J2" s="7"/>
      <c r="K2" s="8"/>
    </row>
    <row r="3" spans="1:11" s="17" customFormat="1" ht="12" customHeight="1">
      <c r="A3" s="1"/>
      <c r="B3" s="10"/>
      <c r="C3" s="11"/>
      <c r="D3" s="11"/>
      <c r="E3" s="12"/>
      <c r="F3" s="2"/>
      <c r="G3" s="13">
        <v>1</v>
      </c>
      <c r="H3" s="14" t="s">
        <v>82</v>
      </c>
      <c r="I3" s="15" t="e">
        <f>IF("$#REF !3=""OUI"";LARGE([.$I$2:.$I2];1)+1;""""))))))))))))))))))))))))",TRUE)</f>
        <v>#VALUE!</v>
      </c>
      <c r="J3" s="15" t="str">
        <f aca="true" t="shared" si="0" ref="J3:J18">H3</f>
        <v>Alizan Gaspard</v>
      </c>
      <c r="K3" s="16"/>
    </row>
    <row r="4" spans="1:11" s="23" customFormat="1" ht="12" customHeight="1">
      <c r="A4" s="1"/>
      <c r="B4" s="18"/>
      <c r="C4" s="19" t="s">
        <v>2</v>
      </c>
      <c r="D4" s="20">
        <v>42095</v>
      </c>
      <c r="E4" s="21"/>
      <c r="F4" s="2"/>
      <c r="G4" s="13">
        <v>2</v>
      </c>
      <c r="H4" s="14" t="s">
        <v>83</v>
      </c>
      <c r="I4" s="15" t="e">
        <f>IF("$#REF !4=""OUI"";LARGE([.$I$2:.$I3];1)+1;""""))))))))))))))))))))))))",TRUE)</f>
        <v>#VALUE!</v>
      </c>
      <c r="J4" s="15" t="str">
        <f t="shared" si="0"/>
        <v>Auboisdormant Abel</v>
      </c>
      <c r="K4" s="22"/>
    </row>
    <row r="5" spans="1:11" s="17" customFormat="1" ht="12" customHeight="1">
      <c r="A5" s="1"/>
      <c r="B5" s="18"/>
      <c r="C5" s="24"/>
      <c r="D5" s="24"/>
      <c r="E5" s="21"/>
      <c r="F5" s="2"/>
      <c r="G5" s="13">
        <v>3</v>
      </c>
      <c r="H5" s="14" t="s">
        <v>84</v>
      </c>
      <c r="I5" s="15" t="e">
        <f>IF("$#REF !5=""OUI"";LARGE([.$I$2:.$I4];1)+1;""""))))))))))))))))))))))))",TRUE)</f>
        <v>#VALUE!</v>
      </c>
      <c r="J5" s="15" t="str">
        <f t="shared" si="0"/>
        <v>Balmaské Alonzo</v>
      </c>
      <c r="K5" s="16"/>
    </row>
    <row r="6" spans="1:11" s="17" customFormat="1" ht="12" customHeight="1">
      <c r="A6" s="1"/>
      <c r="B6" s="18"/>
      <c r="C6" s="19" t="s">
        <v>3</v>
      </c>
      <c r="D6" s="25" t="s">
        <v>78</v>
      </c>
      <c r="E6" s="21"/>
      <c r="F6" s="2"/>
      <c r="G6" s="13">
        <v>4</v>
      </c>
      <c r="H6" s="14" t="s">
        <v>145</v>
      </c>
      <c r="I6" s="15" t="e">
        <f>IF("$#REF !6=""OUI"";LARGE([.$I$2:.$I5];1)+1;""""))))))))))))))))))))))))",TRUE)</f>
        <v>#VALUE!</v>
      </c>
      <c r="J6" s="15" t="str">
        <f t="shared" si="0"/>
        <v>Fonfec Sophie</v>
      </c>
      <c r="K6" s="16"/>
    </row>
    <row r="7" spans="1:11" s="17" customFormat="1" ht="12" customHeight="1">
      <c r="A7" s="1"/>
      <c r="B7" s="18"/>
      <c r="C7" s="24"/>
      <c r="D7" s="24"/>
      <c r="E7" s="21"/>
      <c r="F7" s="2"/>
      <c r="G7" s="13">
        <v>5</v>
      </c>
      <c r="H7" s="14" t="s">
        <v>85</v>
      </c>
      <c r="I7" s="15" t="e">
        <f>IF("$#REF !7=""OUI"";LARGE([.$I$2:.$I6];1)+1;""""))))))))))))))))))))))))",TRUE)</f>
        <v>#VALUE!</v>
      </c>
      <c r="J7" s="15" t="str">
        <f t="shared" si="0"/>
        <v>Dejeu Bernadette</v>
      </c>
      <c r="K7" s="16"/>
    </row>
    <row r="8" spans="1:11" s="17" customFormat="1" ht="12" customHeight="1">
      <c r="A8" s="1"/>
      <c r="B8" s="18"/>
      <c r="C8" s="19" t="s">
        <v>4</v>
      </c>
      <c r="D8" s="26" t="s">
        <v>104</v>
      </c>
      <c r="E8" s="21"/>
      <c r="F8" s="2"/>
      <c r="G8" s="13">
        <v>6</v>
      </c>
      <c r="H8" s="14" t="s">
        <v>86</v>
      </c>
      <c r="I8" s="15" t="e">
        <f>IF("$#REF !8=""OUI"";LARGE([.$I$2:.$I7];1)+1;""""))))))))))))))))))))))))",TRUE)</f>
        <v>#VALUE!</v>
      </c>
      <c r="J8" s="15" t="str">
        <f t="shared" si="0"/>
        <v>Diron-Dayle Denis</v>
      </c>
      <c r="K8" s="16"/>
    </row>
    <row r="9" spans="1:11" s="17" customFormat="1" ht="12" customHeight="1">
      <c r="A9" s="1"/>
      <c r="B9" s="18"/>
      <c r="C9" s="24"/>
      <c r="D9" s="24"/>
      <c r="E9" s="21"/>
      <c r="F9" s="2"/>
      <c r="G9" s="13">
        <v>7</v>
      </c>
      <c r="H9" s="14" t="s">
        <v>87</v>
      </c>
      <c r="I9" s="15" t="e">
        <f>IF("$#REF !9=""OUI"";LARGE([.$I$2:.$I8];1)+1;""""))))))))))))))))))))))))",TRUE)</f>
        <v>#VALUE!</v>
      </c>
      <c r="J9" s="15" t="str">
        <f t="shared" si="0"/>
        <v>Enfaillite Mélusine</v>
      </c>
      <c r="K9" s="16"/>
    </row>
    <row r="10" spans="1:11" s="17" customFormat="1" ht="12" customHeight="1">
      <c r="A10" s="1"/>
      <c r="B10" s="18"/>
      <c r="C10" s="19" t="s">
        <v>5</v>
      </c>
      <c r="D10" s="26" t="s">
        <v>79</v>
      </c>
      <c r="E10" s="21"/>
      <c r="F10" s="2"/>
      <c r="G10" s="13">
        <v>8</v>
      </c>
      <c r="H10" s="14" t="s">
        <v>88</v>
      </c>
      <c r="I10" s="15" t="e">
        <f>IF("$#REF !10=""OUI"";LARGE([.$I$2:.$I9];1)+1;""""))))))))))))))))))))))))",TRUE)</f>
        <v>#VALUE!</v>
      </c>
      <c r="J10" s="15" t="str">
        <f t="shared" si="0"/>
        <v>Fréchi Sarah</v>
      </c>
      <c r="K10" s="16"/>
    </row>
    <row r="11" spans="1:11" s="17" customFormat="1" ht="12" customHeight="1">
      <c r="A11" s="1"/>
      <c r="B11" s="18"/>
      <c r="C11" s="24"/>
      <c r="D11" s="24"/>
      <c r="E11" s="21"/>
      <c r="F11" s="2"/>
      <c r="G11" s="13">
        <v>9</v>
      </c>
      <c r="H11" s="14" t="s">
        <v>89</v>
      </c>
      <c r="I11" s="15" t="e">
        <f>IF("$#REF !11=""OUI"";LARGE([.$I$2:.$I10];1)+1;""""))))))))))))))))))))))))",TRUE)</f>
        <v>#VALUE!</v>
      </c>
      <c r="J11" s="15" t="str">
        <f t="shared" si="0"/>
        <v>Hutte Sacha</v>
      </c>
      <c r="K11" s="16"/>
    </row>
    <row r="12" spans="1:11" s="17" customFormat="1" ht="12" customHeight="1">
      <c r="A12" s="1"/>
      <c r="B12" s="18"/>
      <c r="C12" s="19" t="s">
        <v>6</v>
      </c>
      <c r="D12" s="26" t="s">
        <v>80</v>
      </c>
      <c r="E12" s="21"/>
      <c r="F12" s="2"/>
      <c r="G12" s="13">
        <v>10</v>
      </c>
      <c r="H12" s="14" t="s">
        <v>90</v>
      </c>
      <c r="I12" s="15" t="e">
        <f>IF("$#REF !12=""OUI"";LARGE([.$I$2:.$I11];1)+1;""""))))))))))))))))))))))))",TRUE)</f>
        <v>#VALUE!</v>
      </c>
      <c r="J12" s="15" t="str">
        <f t="shared" si="0"/>
        <v>Itmieu Elmer</v>
      </c>
      <c r="K12" s="16"/>
    </row>
    <row r="13" spans="1:11" s="17" customFormat="1" ht="12" customHeight="1">
      <c r="A13" s="1"/>
      <c r="B13" s="18"/>
      <c r="C13" s="24"/>
      <c r="D13" s="24"/>
      <c r="E13" s="21"/>
      <c r="F13" s="2"/>
      <c r="G13" s="13">
        <v>11</v>
      </c>
      <c r="H13" s="14" t="s">
        <v>91</v>
      </c>
      <c r="I13" s="15" t="e">
        <f>IF("$#REF !13=""OUI"";LARGE([.$I$2:.$I12];1)+1;""""))))))))))))))))))))))))",TRUE)</f>
        <v>#VALUE!</v>
      </c>
      <c r="J13" s="15" t="str">
        <f t="shared" si="0"/>
        <v>Kelpeuv Alphonse</v>
      </c>
      <c r="K13" s="16"/>
    </row>
    <row r="14" spans="1:11" s="17" customFormat="1" ht="12" customHeight="1">
      <c r="A14" s="1"/>
      <c r="B14" s="18"/>
      <c r="C14" s="19" t="s">
        <v>7</v>
      </c>
      <c r="D14" s="26" t="s">
        <v>81</v>
      </c>
      <c r="E14" s="21"/>
      <c r="F14" s="2"/>
      <c r="G14" s="13">
        <v>12</v>
      </c>
      <c r="H14" s="14" t="s">
        <v>92</v>
      </c>
      <c r="I14" s="15" t="e">
        <f>IF("$#REF !14=""OUI"";LARGE([.$I$2:.$I13];1)+1;""""))))))))))))))))))))))))",TRUE)</f>
        <v>#VALUE!</v>
      </c>
      <c r="J14" s="15" t="str">
        <f t="shared" si="0"/>
        <v>Kepoura Adrienne</v>
      </c>
      <c r="K14" s="16"/>
    </row>
    <row r="15" spans="1:11" s="17" customFormat="1" ht="12" customHeight="1">
      <c r="A15" s="1"/>
      <c r="B15" s="27"/>
      <c r="C15" s="28"/>
      <c r="D15" s="29"/>
      <c r="E15" s="30"/>
      <c r="F15" s="2"/>
      <c r="G15" s="13">
        <v>13</v>
      </c>
      <c r="H15" s="14" t="s">
        <v>93</v>
      </c>
      <c r="I15" s="15" t="e">
        <f>IF("$#REF !15=""OUI"";LARGE([.$I$2:.$I14];1)+1;""""))))))))))))))))))))))))",TRUE)</f>
        <v>#VALUE!</v>
      </c>
      <c r="J15" s="15" t="str">
        <f t="shared" si="0"/>
        <v>Labrosse Adam</v>
      </c>
      <c r="K15" s="16"/>
    </row>
    <row r="16" spans="1:11" s="17" customFormat="1" ht="12" customHeight="1">
      <c r="A16" s="1"/>
      <c r="B16" s="2"/>
      <c r="C16" s="189" t="s">
        <v>8</v>
      </c>
      <c r="D16" s="189"/>
      <c r="E16" s="2"/>
      <c r="F16" s="2"/>
      <c r="G16" s="13">
        <v>14</v>
      </c>
      <c r="H16" s="14" t="s">
        <v>94</v>
      </c>
      <c r="I16" s="15" t="e">
        <f>IF("$#REF !16=""OUI"";LARGE([.$I$2:.$I15];1)+1;""""))))))))))))))))))))))))",TRUE)</f>
        <v>#VALUE!</v>
      </c>
      <c r="J16" s="15" t="str">
        <f t="shared" si="0"/>
        <v>Iléosud Eléonore</v>
      </c>
      <c r="K16" s="16"/>
    </row>
    <row r="17" spans="1:11" s="17" customFormat="1" ht="12" customHeight="1">
      <c r="A17" s="1"/>
      <c r="B17" s="190" t="s">
        <v>9</v>
      </c>
      <c r="C17" s="190"/>
      <c r="D17" s="190"/>
      <c r="E17" s="190"/>
      <c r="F17" s="2"/>
      <c r="G17" s="13">
        <v>15</v>
      </c>
      <c r="H17" s="14" t="s">
        <v>95</v>
      </c>
      <c r="I17" s="15" t="e">
        <f>IF("$#REF !17=""OUI"";LARGE([.$I$2:.$I16];1)+1;""""))))))))))))))))))))))))",TRUE)</f>
        <v>#VALUE!</v>
      </c>
      <c r="J17" s="15" t="str">
        <f t="shared" si="0"/>
        <v>Javel Aude</v>
      </c>
      <c r="K17" s="16"/>
    </row>
    <row r="18" spans="1:11" s="17" customFormat="1" ht="12" customHeight="1">
      <c r="A18" s="1"/>
      <c r="B18" s="190"/>
      <c r="C18" s="190"/>
      <c r="D18" s="190"/>
      <c r="E18" s="190"/>
      <c r="F18" s="2"/>
      <c r="G18" s="13">
        <v>16</v>
      </c>
      <c r="H18" s="14" t="s">
        <v>96</v>
      </c>
      <c r="I18" s="15" t="e">
        <f>IF("$#REF !18=""OUI"";LARGE([.$I$2:.$I17];1)+1;""""))))))))))))))))))))))))",TRUE)</f>
        <v>#VALUE!</v>
      </c>
      <c r="J18" s="15" t="str">
        <f t="shared" si="0"/>
        <v>Liguili Guy</v>
      </c>
      <c r="K18" s="16"/>
    </row>
    <row r="19" spans="1:11" s="17" customFormat="1" ht="12" customHeight="1">
      <c r="A19" s="1"/>
      <c r="B19" s="190"/>
      <c r="C19" s="190"/>
      <c r="D19" s="190"/>
      <c r="E19" s="190"/>
      <c r="F19" s="2"/>
      <c r="G19" s="13">
        <v>17</v>
      </c>
      <c r="H19" s="14" t="s">
        <v>97</v>
      </c>
      <c r="I19" s="15" t="e">
        <f>IF("$#REF !19=""OUI"";LARGE([.$I$2:.$I18];1)+1;""""))))))))))))))))))))))))",TRUE)</f>
        <v>#VALUE!</v>
      </c>
      <c r="J19" s="15" t="str">
        <f>"$#REF !$#REF !"</f>
        <v>$#REF !$#REF !</v>
      </c>
      <c r="K19" s="16"/>
    </row>
    <row r="20" spans="1:11" s="17" customFormat="1" ht="12" customHeight="1">
      <c r="A20" s="1"/>
      <c r="B20" s="190"/>
      <c r="C20" s="190"/>
      <c r="D20" s="190"/>
      <c r="E20" s="190"/>
      <c r="F20" s="2"/>
      <c r="G20" s="13">
        <v>18</v>
      </c>
      <c r="H20" s="14" t="s">
        <v>98</v>
      </c>
      <c r="I20" s="15" t="e">
        <f>IF("$#REF !20=""OUI"";LARGE([.$I$2:.$I19];1)+1;""""))))))))))))))))))))))))",TRUE)</f>
        <v>#VALUE!</v>
      </c>
      <c r="J20" s="15" t="str">
        <f aca="true" t="shared" si="1" ref="J20:J27">H19</f>
        <v>Menvussa Gérard</v>
      </c>
      <c r="K20" s="16"/>
    </row>
    <row r="21" spans="1:11" s="17" customFormat="1" ht="12" customHeight="1">
      <c r="A21" s="1"/>
      <c r="B21" s="190"/>
      <c r="C21" s="190"/>
      <c r="D21" s="190"/>
      <c r="E21" s="190"/>
      <c r="F21" s="2"/>
      <c r="G21" s="13">
        <v>19</v>
      </c>
      <c r="H21" s="14" t="s">
        <v>99</v>
      </c>
      <c r="I21" s="15" t="e">
        <f>IF("$#REF !21=""OUI"";LARGE([.$I$2:.$I20];1)+1;""""))))))))))))))))))))))))",TRUE)</f>
        <v>#VALUE!</v>
      </c>
      <c r="J21" s="15" t="str">
        <f t="shared" si="1"/>
        <v>Micoton Milène</v>
      </c>
      <c r="K21" s="16"/>
    </row>
    <row r="22" spans="1:11" s="17" customFormat="1" ht="12" customHeight="1">
      <c r="A22" s="1"/>
      <c r="B22" s="190"/>
      <c r="C22" s="190"/>
      <c r="D22" s="190"/>
      <c r="E22" s="190"/>
      <c r="F22" s="2"/>
      <c r="G22" s="13">
        <v>20</v>
      </c>
      <c r="H22" s="14" t="s">
        <v>100</v>
      </c>
      <c r="I22" s="15" t="e">
        <f>IF("$#REF !22=""OUI"";LARGE([.$I$2:.$I21];1)+1;""""))))))))))))))))))))))))",TRUE)</f>
        <v>#VALUE!</v>
      </c>
      <c r="J22" s="15" t="str">
        <f t="shared" si="1"/>
        <v>Pérémère Yvan</v>
      </c>
      <c r="K22" s="16"/>
    </row>
    <row r="23" spans="1:11" s="17" customFormat="1" ht="12" customHeight="1">
      <c r="A23" s="1"/>
      <c r="B23" s="190"/>
      <c r="C23" s="190"/>
      <c r="D23" s="190"/>
      <c r="E23" s="190"/>
      <c r="F23" s="2"/>
      <c r="G23" s="13">
        <v>21</v>
      </c>
      <c r="H23" s="14" t="s">
        <v>101</v>
      </c>
      <c r="I23" s="15" t="e">
        <f>IF("$#REF !23=""OUI"";LARGE([.$I$2:.$I22];1)+1;""""))))))))))))))))))))))))",TRUE)</f>
        <v>#VALUE!</v>
      </c>
      <c r="J23" s="15" t="str">
        <f t="shared" si="1"/>
        <v>Saloy Bénédicte</v>
      </c>
      <c r="K23" s="16"/>
    </row>
    <row r="24" spans="1:11" s="17" customFormat="1" ht="12" customHeight="1">
      <c r="A24" s="1"/>
      <c r="B24" s="190"/>
      <c r="C24" s="190"/>
      <c r="D24" s="190"/>
      <c r="E24" s="190"/>
      <c r="F24" s="2"/>
      <c r="G24" s="13">
        <v>22</v>
      </c>
      <c r="H24" s="14" t="s">
        <v>102</v>
      </c>
      <c r="I24" s="15" t="e">
        <f>IF("$#REF !24=""OUI"";LARGE([.$I$2:.$I23];1)+1;""""))))))))))))))))))))))))",TRUE)</f>
        <v>#VALUE!</v>
      </c>
      <c r="J24" s="15" t="str">
        <f t="shared" si="1"/>
        <v>Tassion Félicie</v>
      </c>
      <c r="K24" s="16"/>
    </row>
    <row r="25" spans="1:11" s="17" customFormat="1" ht="12" customHeight="1">
      <c r="A25" s="1"/>
      <c r="B25" s="190"/>
      <c r="C25" s="190"/>
      <c r="D25" s="190"/>
      <c r="E25" s="190"/>
      <c r="F25" s="1"/>
      <c r="G25" s="13">
        <v>23</v>
      </c>
      <c r="H25" s="14" t="s">
        <v>103</v>
      </c>
      <c r="I25" s="15" t="e">
        <f>IF("$#REF !25=""OUI"";LARGE([.$I$2:.$I24];1)+1;""""))))))))))))))))))))))))",TRUE)</f>
        <v>#VALUE!</v>
      </c>
      <c r="J25" s="15" t="str">
        <f t="shared" si="1"/>
        <v>Técenfaute Dick</v>
      </c>
      <c r="K25" s="16"/>
    </row>
    <row r="26" spans="1:11" s="17" customFormat="1" ht="12" customHeight="1">
      <c r="A26" s="1"/>
      <c r="B26" s="190"/>
      <c r="C26" s="190"/>
      <c r="D26" s="190"/>
      <c r="E26" s="190"/>
      <c r="F26" s="1"/>
      <c r="G26" s="13">
        <v>24</v>
      </c>
      <c r="H26" s="14" t="s">
        <v>138</v>
      </c>
      <c r="I26" s="15" t="e">
        <f>IF("$#REF !26=""OUI"";LARGE([.$I$2:.$I25];1)+1;""""))))))))))))))))))))))))",TRUE)</f>
        <v>#VALUE!</v>
      </c>
      <c r="J26" s="15" t="str">
        <f t="shared" si="1"/>
        <v>Titouplin Jean</v>
      </c>
      <c r="K26" s="16"/>
    </row>
    <row r="27" spans="1:11" s="17" customFormat="1" ht="12" customHeight="1">
      <c r="A27" s="1"/>
      <c r="B27" s="190"/>
      <c r="C27" s="190"/>
      <c r="D27" s="190"/>
      <c r="E27" s="190"/>
      <c r="F27" s="1"/>
      <c r="G27" s="13">
        <v>25</v>
      </c>
      <c r="H27" s="14" t="s">
        <v>139</v>
      </c>
      <c r="I27" s="15" t="e">
        <f>IF("$#REF !27=""OUI"";LARGE([.$I$2:.$I26];1)+1;""""))))))))))))))))))))))))",TRUE)</f>
        <v>#VALUE!</v>
      </c>
      <c r="J27" s="15" t="str">
        <f t="shared" si="1"/>
        <v>Peudeau Justin</v>
      </c>
      <c r="K27" s="16"/>
    </row>
    <row r="28" spans="1:11" s="17" customFormat="1" ht="12" customHeight="1">
      <c r="A28" s="1"/>
      <c r="B28" s="190"/>
      <c r="C28" s="190"/>
      <c r="D28" s="190"/>
      <c r="E28" s="190"/>
      <c r="F28" s="1"/>
      <c r="G28" s="13">
        <v>26</v>
      </c>
      <c r="H28" s="14" t="s">
        <v>140</v>
      </c>
      <c r="I28" s="15" t="e">
        <f>IF("$#REF !28=""OUI"";LARGE([.$I$2:.$I27];1)+1;""""))))))))))))))))))))))))",TRUE)</f>
        <v>#VALUE!</v>
      </c>
      <c r="J28" s="15" t="str">
        <f>H28</f>
        <v>Tartine Kimberley</v>
      </c>
      <c r="K28" s="16"/>
    </row>
    <row r="29" spans="1:11" s="17" customFormat="1" ht="12" customHeight="1">
      <c r="A29" s="1"/>
      <c r="B29" s="190"/>
      <c r="C29" s="190"/>
      <c r="D29" s="190"/>
      <c r="E29" s="190"/>
      <c r="F29" s="1"/>
      <c r="G29" s="13">
        <v>27</v>
      </c>
      <c r="H29" s="14" t="s">
        <v>141</v>
      </c>
      <c r="I29" s="15" t="e">
        <f>IF("$#REF !29=""OUI"";LARGE([.$I$2:.$I28];1)+1;""""))))))))))))))))))))))))",TRUE)</f>
        <v>#VALUE!</v>
      </c>
      <c r="J29" s="15" t="str">
        <f>H29</f>
        <v>Gina Laurent</v>
      </c>
      <c r="K29" s="16"/>
    </row>
    <row r="30" spans="1:11" s="17" customFormat="1" ht="12" customHeight="1">
      <c r="A30" s="1"/>
      <c r="B30" s="190"/>
      <c r="C30" s="190"/>
      <c r="D30" s="190"/>
      <c r="E30" s="190"/>
      <c r="F30" s="1"/>
      <c r="G30" s="13">
        <v>28</v>
      </c>
      <c r="H30" s="14" t="s">
        <v>142</v>
      </c>
      <c r="I30" s="15" t="e">
        <f>IF("$#REF !30=""OUI"";LARGE([.$I$2:.$I29];1)+1;""""))))))))))))))))))))))))",TRUE)</f>
        <v>#VALUE!</v>
      </c>
      <c r="J30" s="15" t="str">
        <f>H30</f>
        <v>Stiké Sophie</v>
      </c>
      <c r="K30" s="16"/>
    </row>
    <row r="31" spans="1:11" s="17" customFormat="1" ht="12" customHeight="1">
      <c r="A31" s="1"/>
      <c r="B31" s="190"/>
      <c r="C31" s="190"/>
      <c r="D31" s="190"/>
      <c r="E31" s="190"/>
      <c r="F31" s="1"/>
      <c r="G31" s="13">
        <v>29</v>
      </c>
      <c r="H31" s="14" t="s">
        <v>143</v>
      </c>
      <c r="I31" s="15" t="e">
        <f>IF("$#REF !31=""OUI"";LARGE([.$I$2:.$I30];1)+1;""""))))))))))))))))))))))))",TRUE)</f>
        <v>#VALUE!</v>
      </c>
      <c r="J31" s="15" t="str">
        <f>H31</f>
        <v>Ouzy Jacques</v>
      </c>
      <c r="K31" s="16"/>
    </row>
    <row r="32" spans="1:11" s="17" customFormat="1" ht="12" customHeight="1">
      <c r="A32" s="1"/>
      <c r="B32" s="190"/>
      <c r="C32" s="190"/>
      <c r="D32" s="190"/>
      <c r="E32" s="190"/>
      <c r="F32" s="1"/>
      <c r="G32" s="13">
        <v>30</v>
      </c>
      <c r="H32" s="14" t="s">
        <v>144</v>
      </c>
      <c r="I32" s="15" t="e">
        <f>IF("$#REF !32=""OUI"";LARGE([.$I$2:.$I31];1)+1;""""))))))))))))))))))))))))",TRUE)</f>
        <v>#VALUE!</v>
      </c>
      <c r="J32" s="15" t="str">
        <f>H32</f>
        <v>Youbèbe Agathe</v>
      </c>
      <c r="K32" s="16"/>
    </row>
    <row r="33" spans="2:8" ht="12" customHeight="1">
      <c r="B33" s="31"/>
      <c r="C33" s="32"/>
      <c r="D33" s="33"/>
      <c r="E33" s="31"/>
      <c r="F33" s="1"/>
      <c r="G33" s="13">
        <v>31</v>
      </c>
      <c r="H33" s="14" t="s">
        <v>106</v>
      </c>
    </row>
    <row r="34" spans="2:8" ht="12" customHeight="1">
      <c r="B34" s="31"/>
      <c r="C34" s="32"/>
      <c r="D34" s="33"/>
      <c r="E34" s="31"/>
      <c r="F34" s="1"/>
      <c r="G34" s="13">
        <v>32</v>
      </c>
      <c r="H34" s="14" t="s">
        <v>107</v>
      </c>
    </row>
    <row r="35" spans="1:11" s="166" customFormat="1" ht="15">
      <c r="A35" s="31"/>
      <c r="B35" s="31"/>
      <c r="C35" s="32"/>
      <c r="D35" s="33"/>
      <c r="E35" s="31"/>
      <c r="F35" s="31"/>
      <c r="G35" s="164"/>
      <c r="H35" s="165"/>
      <c r="K35" s="31"/>
    </row>
  </sheetData>
  <sheetProtection/>
  <mergeCells count="3">
    <mergeCell ref="C1:D1"/>
    <mergeCell ref="C16:D16"/>
    <mergeCell ref="B17:E32"/>
  </mergeCells>
  <conditionalFormatting sqref="D6">
    <cfRule type="cellIs" priority="1" dxfId="0" operator="equal" stopIfTrue="1">
      <formula>"choisissez votre circonscription"</formula>
    </cfRule>
  </conditionalFormatting>
  <conditionalFormatting sqref="D8">
    <cfRule type="cellIs" priority="2" dxfId="0" operator="equal" stopIfTrue="1">
      <formula>"en capitales"</formula>
    </cfRule>
  </conditionalFormatting>
  <conditionalFormatting sqref="D10 D12">
    <cfRule type="cellIs" priority="3" dxfId="0" operator="equal" stopIfTrue="1">
      <formula>"choisissez..."</formula>
    </cfRule>
  </conditionalFormatting>
  <conditionalFormatting sqref="D14">
    <cfRule type="cellIs" priority="4" dxfId="0" operator="equal" stopIfTrue="1">
      <formula>"CM2A, CM2B..."</formula>
    </cfRule>
  </conditionalFormatting>
  <dataValidations count="5">
    <dataValidation type="list" operator="equal" allowBlank="1" showErrorMessage="1" sqref="L3:IV32">
      <formula1>"OUI,NON"</formula1>
    </dataValidation>
    <dataValidation type="list" operator="equal" showErrorMessage="1" errorTitle="Attention !" error="Choisissez les données uniquement avec le menu déroulant" sqref="D6">
      <formula1>"Choisissez votre circonscription,Antibes,ASH,Cannes,Cagnes-sur-Mer,Carros,Grasse,Le Cannet,Menton,Nice 1,Nice 2,Nice 3,Nice 4,Nice 5,Nice 6,Saint André,Valbonne,Val de Siagne,Vence,"</formula1>
    </dataValidation>
    <dataValidation type="list" operator="equal" showErrorMessage="1" errorTitle="Attention !" error="Choisissez la réponse &quot;oui&quot; si votre école est en Education Prioritaire ou &quot;non&quot; dans le cas contraire." sqref="D10">
      <formula1>"choisissez...,oui,non"</formula1>
    </dataValidation>
    <dataValidation type="list" operator="equal" showErrorMessage="1" errorTitle="Attention !" error="Choisissez la réponse à l'aide du menu déroulant." sqref="D12">
      <formula1>"choisissez...,Anglais,Italien,Allemand"</formula1>
    </dataValidation>
    <dataValidation operator="equal" allowBlank="1" showInputMessage="1" promptTitle="Onglet &quot;à_lire&quot;" prompt="Dans cet onglet vous saisissez les renseignements dans les cellules rouges et les noms des élèves dans la colonne H." sqref="A1">
      <formula1>0</formula1>
    </dataValidation>
  </dataValidations>
  <printOptions/>
  <pageMargins left="0.5902777777777778" right="0.5902777777777778" top="0.5902777777777778" bottom="0.5902777777777778" header="0.5118055555555555" footer="0.5118055555555555"/>
  <pageSetup firstPageNumber="1" useFirstPageNumber="1"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H187"/>
  <sheetViews>
    <sheetView showGridLines="0" zoomScale="130" zoomScaleNormal="130" zoomScaleSheetLayoutView="90" workbookViewId="0" topLeftCell="A17">
      <selection activeCell="B42" sqref="B42"/>
    </sheetView>
  </sheetViews>
  <sheetFormatPr defaultColWidth="4.7109375" defaultRowHeight="12.75"/>
  <cols>
    <col min="1" max="1" width="22.00390625" style="34" customWidth="1"/>
    <col min="2" max="23" width="6.7109375" style="34" customWidth="1"/>
    <col min="24" max="28" width="5.7109375" style="34" customWidth="1"/>
    <col min="29" max="29" width="2.8515625" style="34" customWidth="1"/>
    <col min="30" max="30" width="7.140625" style="35" customWidth="1"/>
    <col min="31" max="31" width="8.7109375" style="35" customWidth="1"/>
    <col min="32" max="32" width="0" style="34" hidden="1" customWidth="1"/>
    <col min="33" max="16384" width="4.7109375" style="34" customWidth="1"/>
  </cols>
  <sheetData>
    <row r="1" spans="1:32" ht="12.75" customHeight="1" hidden="1">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7"/>
      <c r="AD1" s="38"/>
      <c r="AE1" s="38"/>
      <c r="AF1" s="37"/>
    </row>
    <row r="2" spans="1:32" ht="12.75" customHeight="1" hidden="1">
      <c r="A2" s="36"/>
      <c r="B2" s="36"/>
      <c r="C2" s="36"/>
      <c r="D2" s="36"/>
      <c r="E2" s="36"/>
      <c r="F2" s="36"/>
      <c r="G2" s="36"/>
      <c r="H2" s="36"/>
      <c r="I2" s="39"/>
      <c r="J2" s="39"/>
      <c r="K2" s="39"/>
      <c r="L2" s="39"/>
      <c r="M2" s="36"/>
      <c r="N2" s="39"/>
      <c r="O2" s="39"/>
      <c r="P2" s="39"/>
      <c r="Q2" s="39"/>
      <c r="R2" s="36"/>
      <c r="S2" s="36"/>
      <c r="T2" s="39"/>
      <c r="U2" s="39"/>
      <c r="V2" s="39"/>
      <c r="W2" s="36"/>
      <c r="X2" s="36"/>
      <c r="Y2" s="36"/>
      <c r="Z2" s="36"/>
      <c r="AA2" s="36"/>
      <c r="AB2" s="36"/>
      <c r="AC2" s="37"/>
      <c r="AD2" s="38"/>
      <c r="AE2" s="38"/>
      <c r="AF2" s="37"/>
    </row>
    <row r="3" spans="1:112" s="41" customFormat="1" ht="13.5" customHeight="1" hidden="1">
      <c r="A3" s="40"/>
      <c r="V3" s="37"/>
      <c r="W3" s="37"/>
      <c r="X3" s="37"/>
      <c r="Y3" s="37"/>
      <c r="Z3" s="37"/>
      <c r="AA3" s="37"/>
      <c r="AB3" s="37"/>
      <c r="AC3" s="37"/>
      <c r="AD3" s="38"/>
      <c r="AE3" s="42"/>
      <c r="CV3" s="34"/>
      <c r="CW3" s="34"/>
      <c r="CX3" s="34"/>
      <c r="CY3" s="34"/>
      <c r="CZ3" s="34"/>
      <c r="DA3" s="34"/>
      <c r="DB3" s="34"/>
      <c r="DC3" s="34"/>
      <c r="DD3" s="34"/>
      <c r="DE3" s="34"/>
      <c r="DF3" s="34"/>
      <c r="DG3" s="34"/>
      <c r="DH3" s="34"/>
    </row>
    <row r="4" spans="1:112" s="41" customFormat="1" ht="13.5" customHeight="1">
      <c r="A4" s="43"/>
      <c r="B4" s="44" t="s">
        <v>11</v>
      </c>
      <c r="C4" s="45"/>
      <c r="D4" s="45"/>
      <c r="E4" s="45"/>
      <c r="F4" s="45"/>
      <c r="G4" s="45"/>
      <c r="H4" s="45"/>
      <c r="I4" s="45"/>
      <c r="J4" s="45"/>
      <c r="K4" s="45"/>
      <c r="L4" s="45"/>
      <c r="M4" s="45"/>
      <c r="N4" s="45"/>
      <c r="O4" s="45"/>
      <c r="P4" s="45"/>
      <c r="V4" s="46"/>
      <c r="W4" s="47"/>
      <c r="X4" s="47"/>
      <c r="Y4" s="47"/>
      <c r="Z4" s="47"/>
      <c r="AA4" s="47"/>
      <c r="AB4" s="47"/>
      <c r="AC4" s="37"/>
      <c r="AD4" s="38"/>
      <c r="AE4" s="42"/>
      <c r="CV4" s="34"/>
      <c r="CW4" s="34"/>
      <c r="CX4" s="34"/>
      <c r="CY4" s="34"/>
      <c r="CZ4" s="34"/>
      <c r="DA4" s="34"/>
      <c r="DB4" s="34"/>
      <c r="DC4" s="34"/>
      <c r="DD4" s="34"/>
      <c r="DE4" s="34"/>
      <c r="DF4" s="34"/>
      <c r="DG4" s="34"/>
      <c r="DH4" s="34"/>
    </row>
    <row r="5" spans="1:112" s="41" customFormat="1" ht="15.75" customHeight="1">
      <c r="A5" s="48"/>
      <c r="B5" s="202">
        <f>à_lire!D4</f>
        <v>42095</v>
      </c>
      <c r="C5" s="202"/>
      <c r="D5" s="202"/>
      <c r="E5" s="202"/>
      <c r="F5" s="202"/>
      <c r="G5" s="202"/>
      <c r="H5" s="202"/>
      <c r="I5" s="44"/>
      <c r="J5" s="49"/>
      <c r="V5" s="46" t="s">
        <v>12</v>
      </c>
      <c r="W5" s="37"/>
      <c r="X5" s="37"/>
      <c r="Y5" s="37"/>
      <c r="Z5" s="37"/>
      <c r="AA5" s="37"/>
      <c r="AB5" s="37"/>
      <c r="AC5" s="37"/>
      <c r="AD5" s="38"/>
      <c r="AE5" s="42"/>
      <c r="CV5" s="34"/>
      <c r="CW5" s="34"/>
      <c r="CX5" s="34"/>
      <c r="CY5" s="34"/>
      <c r="CZ5" s="34"/>
      <c r="DA5" s="34"/>
      <c r="DB5" s="34"/>
      <c r="DC5" s="34"/>
      <c r="DD5" s="34"/>
      <c r="DE5" s="34"/>
      <c r="DF5" s="34"/>
      <c r="DG5" s="34"/>
      <c r="DH5" s="34"/>
    </row>
    <row r="6" spans="1:112" s="41" customFormat="1" ht="15">
      <c r="A6" s="40"/>
      <c r="B6" s="50" t="s">
        <v>13</v>
      </c>
      <c r="C6" s="44"/>
      <c r="D6" s="51" t="str">
        <f>à_lire!D8</f>
        <v>ALBERT CAMUS</v>
      </c>
      <c r="E6" s="51"/>
      <c r="F6" s="51"/>
      <c r="G6" s="51"/>
      <c r="H6" s="44"/>
      <c r="I6" s="44"/>
      <c r="J6" s="44"/>
      <c r="K6" s="44"/>
      <c r="L6" s="44"/>
      <c r="M6" s="44"/>
      <c r="N6" s="44"/>
      <c r="O6" s="44"/>
      <c r="P6" s="44"/>
      <c r="V6" s="52"/>
      <c r="AD6" s="42"/>
      <c r="AE6" s="42"/>
      <c r="CV6" s="34"/>
      <c r="CW6" s="34"/>
      <c r="CX6" s="34"/>
      <c r="CY6" s="34"/>
      <c r="CZ6" s="34"/>
      <c r="DA6" s="34"/>
      <c r="DB6" s="34"/>
      <c r="DC6" s="34"/>
      <c r="DD6" s="34"/>
      <c r="DE6" s="34"/>
      <c r="DF6" s="34"/>
      <c r="DG6" s="34"/>
      <c r="DH6" s="34"/>
    </row>
    <row r="7" spans="1:112" s="41" customFormat="1" ht="12">
      <c r="A7" s="40"/>
      <c r="B7" s="41" t="s">
        <v>14</v>
      </c>
      <c r="E7" s="41" t="str">
        <f>à_lire!D10</f>
        <v>non</v>
      </c>
      <c r="H7" s="53"/>
      <c r="V7" s="52"/>
      <c r="AD7" s="42"/>
      <c r="AE7" s="42"/>
      <c r="CV7" s="34"/>
      <c r="CW7" s="34"/>
      <c r="CX7" s="34"/>
      <c r="CY7" s="34"/>
      <c r="CZ7" s="34"/>
      <c r="DA7" s="34"/>
      <c r="DB7" s="34"/>
      <c r="DC7" s="34"/>
      <c r="DD7" s="34"/>
      <c r="DE7" s="34"/>
      <c r="DF7" s="34"/>
      <c r="DG7" s="34"/>
      <c r="DH7" s="34"/>
    </row>
    <row r="8" spans="30:112" s="41" customFormat="1" ht="12">
      <c r="AD8" s="42"/>
      <c r="AE8" s="42"/>
      <c r="CV8" s="34"/>
      <c r="CW8" s="34"/>
      <c r="CX8" s="34"/>
      <c r="CY8" s="34"/>
      <c r="CZ8" s="34"/>
      <c r="DA8" s="34"/>
      <c r="DB8" s="34"/>
      <c r="DC8" s="34"/>
      <c r="DD8" s="34"/>
      <c r="DE8" s="34"/>
      <c r="DF8" s="34"/>
      <c r="DG8" s="34"/>
      <c r="DH8" s="34"/>
    </row>
    <row r="9" spans="30:112" s="41" customFormat="1" ht="12">
      <c r="AD9" s="42"/>
      <c r="AE9" s="42"/>
      <c r="CV9" s="34"/>
      <c r="CW9" s="34"/>
      <c r="CX9" s="34"/>
      <c r="CY9" s="34"/>
      <c r="CZ9" s="34"/>
      <c r="DA9" s="34"/>
      <c r="DB9" s="34"/>
      <c r="DC9" s="34"/>
      <c r="DD9" s="34"/>
      <c r="DE9" s="34"/>
      <c r="DF9" s="34"/>
      <c r="DG9" s="34"/>
      <c r="DH9" s="34"/>
    </row>
    <row r="10" spans="2:112" s="41" customFormat="1" ht="12">
      <c r="B10" s="54" t="s">
        <v>15</v>
      </c>
      <c r="AD10" s="42"/>
      <c r="AE10" s="42"/>
      <c r="CV10" s="34"/>
      <c r="CW10" s="34"/>
      <c r="CX10" s="34"/>
      <c r="CY10" s="34"/>
      <c r="CZ10" s="34"/>
      <c r="DA10" s="34"/>
      <c r="DB10" s="34"/>
      <c r="DC10" s="34"/>
      <c r="DD10" s="34"/>
      <c r="DE10" s="34"/>
      <c r="DF10" s="34"/>
      <c r="DG10" s="34"/>
      <c r="DH10" s="34"/>
    </row>
    <row r="11" spans="2:112" s="41" customFormat="1" ht="10.5" customHeight="1">
      <c r="B11" s="34"/>
      <c r="I11" s="37"/>
      <c r="J11" s="37"/>
      <c r="K11" s="37"/>
      <c r="L11" s="37"/>
      <c r="M11" s="37"/>
      <c r="N11" s="37"/>
      <c r="O11" s="37"/>
      <c r="P11" s="37"/>
      <c r="Q11" s="37"/>
      <c r="R11" s="37"/>
      <c r="S11" s="37"/>
      <c r="T11" s="37"/>
      <c r="U11" s="37"/>
      <c r="V11" s="37"/>
      <c r="W11" s="37"/>
      <c r="AC11" s="55"/>
      <c r="AD11" s="42"/>
      <c r="AE11" s="42"/>
      <c r="CV11" s="34"/>
      <c r="CW11" s="34"/>
      <c r="CX11" s="34"/>
      <c r="CY11" s="34"/>
      <c r="CZ11" s="34"/>
      <c r="DA11" s="34"/>
      <c r="DB11" s="34"/>
      <c r="DC11" s="34"/>
      <c r="DD11" s="34"/>
      <c r="DE11" s="34"/>
      <c r="DF11" s="34"/>
      <c r="DG11" s="34"/>
      <c r="DH11" s="34"/>
    </row>
    <row r="12" spans="2:112" s="41" customFormat="1" ht="8.25" customHeight="1">
      <c r="B12" s="203"/>
      <c r="C12" s="203"/>
      <c r="D12" s="203"/>
      <c r="E12" s="203"/>
      <c r="F12" s="203"/>
      <c r="G12" s="203"/>
      <c r="H12" s="203"/>
      <c r="I12" s="204"/>
      <c r="J12" s="204"/>
      <c r="K12" s="204"/>
      <c r="L12" s="204"/>
      <c r="M12" s="204"/>
      <c r="N12" s="204"/>
      <c r="O12" s="204"/>
      <c r="P12" s="204"/>
      <c r="Q12" s="204"/>
      <c r="R12" s="204"/>
      <c r="S12" s="204"/>
      <c r="T12" s="204"/>
      <c r="U12" s="204"/>
      <c r="V12" s="204"/>
      <c r="W12" s="204"/>
      <c r="X12" s="56"/>
      <c r="Y12" s="56"/>
      <c r="Z12" s="56"/>
      <c r="AA12" s="56"/>
      <c r="AB12" s="56"/>
      <c r="AC12" s="205"/>
      <c r="AD12" s="57"/>
      <c r="AE12" s="57"/>
      <c r="CV12" s="34"/>
      <c r="CW12" s="34"/>
      <c r="CX12" s="34"/>
      <c r="CY12" s="34"/>
      <c r="CZ12" s="34"/>
      <c r="DA12" s="34"/>
      <c r="DB12" s="34"/>
      <c r="DC12" s="34"/>
      <c r="DD12" s="34"/>
      <c r="DE12" s="34"/>
      <c r="DF12" s="34"/>
      <c r="DG12" s="34"/>
      <c r="DH12" s="34"/>
    </row>
    <row r="13" spans="1:112" s="41" customFormat="1" ht="39.75" customHeight="1">
      <c r="A13" s="5" t="s">
        <v>0</v>
      </c>
      <c r="B13" s="192" t="s">
        <v>16</v>
      </c>
      <c r="C13" s="193"/>
      <c r="D13" s="193"/>
      <c r="E13" s="193"/>
      <c r="F13" s="193"/>
      <c r="G13" s="194"/>
      <c r="H13" s="206" t="s">
        <v>17</v>
      </c>
      <c r="I13" s="207"/>
      <c r="J13" s="207"/>
      <c r="K13" s="207"/>
      <c r="L13" s="208"/>
      <c r="M13" s="192" t="s">
        <v>18</v>
      </c>
      <c r="N13" s="193"/>
      <c r="O13" s="193"/>
      <c r="P13" s="193"/>
      <c r="Q13" s="194"/>
      <c r="R13" s="206" t="s">
        <v>19</v>
      </c>
      <c r="S13" s="208"/>
      <c r="T13" s="192" t="s">
        <v>20</v>
      </c>
      <c r="U13" s="193"/>
      <c r="V13" s="193"/>
      <c r="W13" s="194"/>
      <c r="X13" s="58"/>
      <c r="Y13" s="58"/>
      <c r="Z13" s="58"/>
      <c r="AA13" s="58"/>
      <c r="AB13" s="58"/>
      <c r="AC13" s="205"/>
      <c r="AD13" s="191" t="s">
        <v>21</v>
      </c>
      <c r="AE13" s="191" t="s">
        <v>22</v>
      </c>
      <c r="AF13" s="191" t="s">
        <v>23</v>
      </c>
      <c r="CV13" s="34"/>
      <c r="CW13" s="34"/>
      <c r="CX13" s="34"/>
      <c r="CY13" s="34"/>
      <c r="CZ13" s="34"/>
      <c r="DA13" s="34"/>
      <c r="DB13" s="34"/>
      <c r="DC13" s="34"/>
      <c r="DD13" s="34"/>
      <c r="DE13" s="34"/>
      <c r="DF13" s="34"/>
      <c r="DG13" s="34"/>
      <c r="DH13" s="34"/>
    </row>
    <row r="14" spans="1:32" ht="12.75">
      <c r="A14" s="59" t="s">
        <v>24</v>
      </c>
      <c r="B14" s="60">
        <v>1</v>
      </c>
      <c r="C14" s="60">
        <v>2</v>
      </c>
      <c r="D14" s="60">
        <v>3</v>
      </c>
      <c r="E14" s="60">
        <v>4</v>
      </c>
      <c r="F14" s="60">
        <v>5</v>
      </c>
      <c r="G14" s="60">
        <v>6</v>
      </c>
      <c r="H14" s="61">
        <v>7</v>
      </c>
      <c r="I14" s="61">
        <v>8</v>
      </c>
      <c r="J14" s="61">
        <v>9</v>
      </c>
      <c r="K14" s="61">
        <v>10</v>
      </c>
      <c r="L14" s="61">
        <v>11</v>
      </c>
      <c r="M14" s="62">
        <v>12</v>
      </c>
      <c r="N14" s="62">
        <v>13</v>
      </c>
      <c r="O14" s="60">
        <v>14</v>
      </c>
      <c r="P14" s="60">
        <v>15</v>
      </c>
      <c r="Q14" s="60">
        <v>16</v>
      </c>
      <c r="R14" s="61">
        <v>17</v>
      </c>
      <c r="S14" s="61">
        <v>18</v>
      </c>
      <c r="T14" s="60">
        <v>19</v>
      </c>
      <c r="U14" s="60">
        <v>20</v>
      </c>
      <c r="V14" s="60">
        <v>21</v>
      </c>
      <c r="W14" s="60">
        <v>22</v>
      </c>
      <c r="X14" s="63" t="s">
        <v>25</v>
      </c>
      <c r="Y14" s="63" t="s">
        <v>26</v>
      </c>
      <c r="Z14" s="63" t="s">
        <v>27</v>
      </c>
      <c r="AA14" s="63" t="s">
        <v>28</v>
      </c>
      <c r="AB14" s="63" t="s">
        <v>29</v>
      </c>
      <c r="AC14" s="205"/>
      <c r="AD14" s="191"/>
      <c r="AE14" s="191"/>
      <c r="AF14" s="191"/>
    </row>
    <row r="15" spans="1:32" ht="15.75">
      <c r="A15" s="64" t="str">
        <f>à_lire!H3</f>
        <v>Alizan Gaspard</v>
      </c>
      <c r="B15" s="65" t="s">
        <v>30</v>
      </c>
      <c r="C15" s="65">
        <v>2</v>
      </c>
      <c r="D15" s="65" t="s">
        <v>30</v>
      </c>
      <c r="E15" s="65">
        <v>1</v>
      </c>
      <c r="F15" s="65" t="s">
        <v>30</v>
      </c>
      <c r="G15" s="65">
        <v>1</v>
      </c>
      <c r="H15" s="65" t="s">
        <v>30</v>
      </c>
      <c r="I15" s="65">
        <v>2</v>
      </c>
      <c r="J15" s="65">
        <v>2</v>
      </c>
      <c r="K15" s="65" t="s">
        <v>30</v>
      </c>
      <c r="L15" s="65">
        <v>2</v>
      </c>
      <c r="M15" s="65">
        <v>1</v>
      </c>
      <c r="N15" s="65">
        <v>1</v>
      </c>
      <c r="O15" s="65">
        <v>2</v>
      </c>
      <c r="P15" s="65">
        <v>1</v>
      </c>
      <c r="Q15" s="65">
        <v>1</v>
      </c>
      <c r="R15" s="65">
        <v>1</v>
      </c>
      <c r="S15" s="65">
        <v>2</v>
      </c>
      <c r="T15" s="65">
        <v>2</v>
      </c>
      <c r="U15" s="65">
        <v>2</v>
      </c>
      <c r="V15" s="65">
        <v>1</v>
      </c>
      <c r="W15" s="65">
        <v>1</v>
      </c>
      <c r="X15" s="66">
        <f>IF(AC15="n","n",(COUNTIF(B15:G15,1)+COUNTIF(B15:G15,2))/COUNTIF(B15:G15,"&lt;&gt;A"))</f>
        <v>1</v>
      </c>
      <c r="Y15" s="66">
        <f>IF(AC15="n","n",(COUNTIF(H15:L15,1)+COUNTIF(H15:L15,2))/COUNTIF(H15:L15,"&lt;&gt;A"))</f>
        <v>1</v>
      </c>
      <c r="Z15" s="66">
        <f>IF(AC15="n","n",(COUNTIF(M15:Q15,1)+COUNTIF(M15:Q15,2))/COUNTIF(M15:Q15,"&lt;&gt;A"))</f>
        <v>1</v>
      </c>
      <c r="AA15" s="66">
        <f>IF(AD15="n","n",(COUNTIF(R15:S15,1)+COUNTIF(R15:S15,2))/COUNTIF(R15:S15,"&lt;&gt;A"))</f>
        <v>1</v>
      </c>
      <c r="AB15" s="66">
        <f>IF(AC15="n","n",(COUNTIF(T15:W15,1)+COUNTIF(T15:W15,2))/COUNTIF(T15:W15,"&lt;&gt;A"))</f>
        <v>1</v>
      </c>
      <c r="AC15" s="67" t="str">
        <f aca="true" t="shared" si="0" ref="AC15:AC46">IF(SUM(B15:W15)&gt;1,"o","n")</f>
        <v>o</v>
      </c>
      <c r="AD15" s="68">
        <f aca="true" t="shared" si="1" ref="AD15:AD46">IF(AC15="n","n",COUNTIF(B15:W15,1)/(COUNTIF(B15:W15,"&lt;&gt;A")))</f>
        <v>0.5294117647058824</v>
      </c>
      <c r="AE15" s="68">
        <f aca="true" t="shared" si="2" ref="AE15:AE46">IF(AC15="n","n",(COUNTIF(B15:W15,1)+COUNTIF(B15:W15,2))/(COUNTIF(B15:W15,"&lt;&gt;A")))</f>
        <v>1</v>
      </c>
      <c r="AF15" s="69">
        <f aca="true" t="shared" si="3" ref="AF15:AF44">(COUNTIF(B15:W15,9)+COUNTIF(B15:W15,0))/(COUNTIF(B15:W15,"&lt;&gt;A"))</f>
        <v>0</v>
      </c>
    </row>
    <row r="16" spans="1:32" ht="15.75">
      <c r="A16" s="64" t="str">
        <f>à_lire!H4</f>
        <v>Auboisdormant Abel</v>
      </c>
      <c r="B16" s="65">
        <v>1</v>
      </c>
      <c r="C16" s="65">
        <v>1</v>
      </c>
      <c r="D16" s="65">
        <v>9</v>
      </c>
      <c r="E16" s="65">
        <v>9</v>
      </c>
      <c r="F16" s="65">
        <v>9</v>
      </c>
      <c r="G16" s="65">
        <v>9</v>
      </c>
      <c r="H16" s="65">
        <v>9</v>
      </c>
      <c r="I16" s="65">
        <v>9</v>
      </c>
      <c r="J16" s="65">
        <v>2</v>
      </c>
      <c r="K16" s="65">
        <v>1</v>
      </c>
      <c r="L16" s="65">
        <v>1</v>
      </c>
      <c r="M16" s="65">
        <v>1</v>
      </c>
      <c r="N16" s="65">
        <v>1</v>
      </c>
      <c r="O16" s="65">
        <v>0</v>
      </c>
      <c r="P16" s="65">
        <v>1</v>
      </c>
      <c r="Q16" s="65">
        <v>1</v>
      </c>
      <c r="R16" s="65">
        <v>1</v>
      </c>
      <c r="S16" s="65">
        <v>2</v>
      </c>
      <c r="T16" s="65">
        <v>1</v>
      </c>
      <c r="U16" s="65">
        <v>9</v>
      </c>
      <c r="V16" s="65">
        <v>0</v>
      </c>
      <c r="W16" s="65">
        <v>9</v>
      </c>
      <c r="X16" s="66">
        <f aca="true" t="shared" si="4" ref="X16:X46">IF(AC16="n","n",(COUNTIF(B16:G16,1)+COUNTIF(B16:G16,2))/COUNTIF(B16:G16,"&lt;&gt;A"))</f>
        <v>0.3333333333333333</v>
      </c>
      <c r="Y16" s="66">
        <f aca="true" t="shared" si="5" ref="Y16:Y46">IF(AC16="n","n",(COUNTIF(H16:L16,1)+COUNTIF(H16:L16,2))/COUNTIF(H16:L16,"&lt;&gt;A"))</f>
        <v>0.6</v>
      </c>
      <c r="Z16" s="66">
        <f aca="true" t="shared" si="6" ref="Z16:Z46">IF(AC16="n","n",(COUNTIF(M16:Q16,1)+COUNTIF(M16:Q16,2))/COUNTIF(M16:Q16,"&lt;&gt;A"))</f>
        <v>0.8</v>
      </c>
      <c r="AA16" s="66">
        <f aca="true" t="shared" si="7" ref="AA16:AA46">IF(AD16="n","n",(COUNTIF(R16:S16,1)+COUNTIF(R16:S16,2))/COUNTIF(R16:S16,"&lt;&gt;A"))</f>
        <v>1</v>
      </c>
      <c r="AB16" s="66">
        <f aca="true" t="shared" si="8" ref="AB16:AB46">IF(AC16="n","n",(COUNTIF(T16:W16,1)+COUNTIF(T16:W16,2))/COUNTIF(T16:W16,"&lt;&gt;A"))</f>
        <v>0.25</v>
      </c>
      <c r="AC16" s="67" t="str">
        <f t="shared" si="0"/>
        <v>o</v>
      </c>
      <c r="AD16" s="68">
        <f t="shared" si="1"/>
        <v>0.45454545454545453</v>
      </c>
      <c r="AE16" s="68">
        <f t="shared" si="2"/>
        <v>0.5454545454545454</v>
      </c>
      <c r="AF16" s="69">
        <f t="shared" si="3"/>
        <v>0.45454545454545453</v>
      </c>
    </row>
    <row r="17" spans="1:32" ht="15.75">
      <c r="A17" s="64" t="str">
        <f>à_lire!H5</f>
        <v>Balmaské Alonzo</v>
      </c>
      <c r="B17" s="65">
        <v>1</v>
      </c>
      <c r="C17" s="65">
        <v>1</v>
      </c>
      <c r="D17" s="65">
        <v>1</v>
      </c>
      <c r="E17" s="65">
        <v>9</v>
      </c>
      <c r="F17" s="65">
        <v>9</v>
      </c>
      <c r="G17" s="65">
        <v>1</v>
      </c>
      <c r="H17" s="65">
        <v>1</v>
      </c>
      <c r="I17" s="65">
        <v>1</v>
      </c>
      <c r="J17" s="65">
        <v>1</v>
      </c>
      <c r="K17" s="65">
        <v>9</v>
      </c>
      <c r="L17" s="65">
        <v>9</v>
      </c>
      <c r="M17" s="65">
        <v>1</v>
      </c>
      <c r="N17" s="65">
        <v>1</v>
      </c>
      <c r="O17" s="65">
        <v>1</v>
      </c>
      <c r="P17" s="65">
        <v>1</v>
      </c>
      <c r="Q17" s="65">
        <v>1</v>
      </c>
      <c r="R17" s="65">
        <v>1</v>
      </c>
      <c r="S17" s="65">
        <v>1</v>
      </c>
      <c r="T17" s="65">
        <v>1</v>
      </c>
      <c r="U17" s="65">
        <v>1</v>
      </c>
      <c r="V17" s="65">
        <v>1</v>
      </c>
      <c r="W17" s="65">
        <v>1</v>
      </c>
      <c r="X17" s="66">
        <f t="shared" si="4"/>
        <v>0.6666666666666666</v>
      </c>
      <c r="Y17" s="66">
        <f t="shared" si="5"/>
        <v>0.6</v>
      </c>
      <c r="Z17" s="66">
        <f t="shared" si="6"/>
        <v>1</v>
      </c>
      <c r="AA17" s="66">
        <f t="shared" si="7"/>
        <v>1</v>
      </c>
      <c r="AB17" s="66">
        <f t="shared" si="8"/>
        <v>1</v>
      </c>
      <c r="AC17" s="67" t="str">
        <f t="shared" si="0"/>
        <v>o</v>
      </c>
      <c r="AD17" s="68">
        <f t="shared" si="1"/>
        <v>0.8181818181818182</v>
      </c>
      <c r="AE17" s="68">
        <f t="shared" si="2"/>
        <v>0.8181818181818182</v>
      </c>
      <c r="AF17" s="69">
        <f t="shared" si="3"/>
        <v>0.18181818181818182</v>
      </c>
    </row>
    <row r="18" spans="1:32" ht="15.75">
      <c r="A18" s="64" t="str">
        <f>à_lire!H6</f>
        <v>Fonfec Sophie</v>
      </c>
      <c r="B18" s="65">
        <v>2</v>
      </c>
      <c r="C18" s="65">
        <v>1</v>
      </c>
      <c r="D18" s="65">
        <v>9</v>
      </c>
      <c r="E18" s="65">
        <v>9</v>
      </c>
      <c r="F18" s="65">
        <v>1</v>
      </c>
      <c r="G18" s="65">
        <v>1</v>
      </c>
      <c r="H18" s="65">
        <v>9</v>
      </c>
      <c r="I18" s="65">
        <v>9</v>
      </c>
      <c r="J18" s="65">
        <v>2</v>
      </c>
      <c r="K18" s="65">
        <v>1</v>
      </c>
      <c r="L18" s="65">
        <v>2</v>
      </c>
      <c r="M18" s="65">
        <v>1</v>
      </c>
      <c r="N18" s="65">
        <v>1</v>
      </c>
      <c r="O18" s="65">
        <v>0</v>
      </c>
      <c r="P18" s="65">
        <v>1</v>
      </c>
      <c r="Q18" s="65">
        <v>2</v>
      </c>
      <c r="R18" s="65">
        <v>1</v>
      </c>
      <c r="S18" s="65">
        <v>9</v>
      </c>
      <c r="T18" s="65">
        <v>1</v>
      </c>
      <c r="U18" s="65">
        <v>9</v>
      </c>
      <c r="V18" s="65">
        <v>0</v>
      </c>
      <c r="W18" s="65">
        <v>0</v>
      </c>
      <c r="X18" s="66">
        <f t="shared" si="4"/>
        <v>0.6666666666666666</v>
      </c>
      <c r="Y18" s="66">
        <f t="shared" si="5"/>
        <v>0.6</v>
      </c>
      <c r="Z18" s="66">
        <f t="shared" si="6"/>
        <v>0.8</v>
      </c>
      <c r="AA18" s="66">
        <f t="shared" si="7"/>
        <v>0.5</v>
      </c>
      <c r="AB18" s="66">
        <f t="shared" si="8"/>
        <v>0.25</v>
      </c>
      <c r="AC18" s="67" t="str">
        <f t="shared" si="0"/>
        <v>o</v>
      </c>
      <c r="AD18" s="68">
        <f t="shared" si="1"/>
        <v>0.4090909090909091</v>
      </c>
      <c r="AE18" s="68">
        <f t="shared" si="2"/>
        <v>0.5909090909090909</v>
      </c>
      <c r="AF18" s="69">
        <f t="shared" si="3"/>
        <v>0.4090909090909091</v>
      </c>
    </row>
    <row r="19" spans="1:32" ht="15.75">
      <c r="A19" s="64" t="str">
        <f>à_lire!H7</f>
        <v>Dejeu Bernadette</v>
      </c>
      <c r="B19" s="65">
        <v>1</v>
      </c>
      <c r="C19" s="65">
        <v>2</v>
      </c>
      <c r="D19" s="65">
        <v>1</v>
      </c>
      <c r="E19" s="65">
        <v>1</v>
      </c>
      <c r="F19" s="65">
        <v>1</v>
      </c>
      <c r="G19" s="65">
        <v>2</v>
      </c>
      <c r="H19" s="65">
        <v>1</v>
      </c>
      <c r="I19" s="65">
        <v>2</v>
      </c>
      <c r="J19" s="65">
        <v>2</v>
      </c>
      <c r="K19" s="65">
        <v>1</v>
      </c>
      <c r="L19" s="65">
        <v>2</v>
      </c>
      <c r="M19" s="65">
        <v>1</v>
      </c>
      <c r="N19" s="65">
        <v>1</v>
      </c>
      <c r="O19" s="65">
        <v>0</v>
      </c>
      <c r="P19" s="65">
        <v>1</v>
      </c>
      <c r="Q19" s="65">
        <v>1</v>
      </c>
      <c r="R19" s="65">
        <v>2</v>
      </c>
      <c r="S19" s="65">
        <v>2</v>
      </c>
      <c r="T19" s="65">
        <v>1</v>
      </c>
      <c r="U19" s="65">
        <v>2</v>
      </c>
      <c r="V19" s="65">
        <v>2</v>
      </c>
      <c r="W19" s="65">
        <v>2</v>
      </c>
      <c r="X19" s="66">
        <f t="shared" si="4"/>
        <v>1</v>
      </c>
      <c r="Y19" s="66">
        <f t="shared" si="5"/>
        <v>1</v>
      </c>
      <c r="Z19" s="66">
        <f t="shared" si="6"/>
        <v>0.8</v>
      </c>
      <c r="AA19" s="66">
        <f t="shared" si="7"/>
        <v>1</v>
      </c>
      <c r="AB19" s="66">
        <f t="shared" si="8"/>
        <v>1</v>
      </c>
      <c r="AC19" s="67" t="str">
        <f t="shared" si="0"/>
        <v>o</v>
      </c>
      <c r="AD19" s="68">
        <f t="shared" si="1"/>
        <v>0.5</v>
      </c>
      <c r="AE19" s="68">
        <f t="shared" si="2"/>
        <v>0.9545454545454546</v>
      </c>
      <c r="AF19" s="69">
        <f t="shared" si="3"/>
        <v>0.045454545454545456</v>
      </c>
    </row>
    <row r="20" spans="1:32" ht="15.75">
      <c r="A20" s="64" t="str">
        <f>à_lire!H8</f>
        <v>Diron-Dayle Denis</v>
      </c>
      <c r="B20" s="65">
        <v>2</v>
      </c>
      <c r="C20" s="65">
        <v>2</v>
      </c>
      <c r="D20" s="65">
        <v>2</v>
      </c>
      <c r="E20" s="65">
        <v>2</v>
      </c>
      <c r="F20" s="65">
        <v>2</v>
      </c>
      <c r="G20" s="65">
        <v>1</v>
      </c>
      <c r="H20" s="65">
        <v>2</v>
      </c>
      <c r="I20" s="65">
        <v>9</v>
      </c>
      <c r="J20" s="65">
        <v>1</v>
      </c>
      <c r="K20" s="65">
        <v>1</v>
      </c>
      <c r="L20" s="65">
        <v>2</v>
      </c>
      <c r="M20" s="65">
        <v>1</v>
      </c>
      <c r="N20" s="65">
        <v>2</v>
      </c>
      <c r="O20" s="65">
        <v>0</v>
      </c>
      <c r="P20" s="65">
        <v>1</v>
      </c>
      <c r="Q20" s="65">
        <v>2</v>
      </c>
      <c r="R20" s="65">
        <v>2</v>
      </c>
      <c r="S20" s="65">
        <v>2</v>
      </c>
      <c r="T20" s="65">
        <v>1</v>
      </c>
      <c r="U20" s="65">
        <v>2</v>
      </c>
      <c r="V20" s="65">
        <v>2</v>
      </c>
      <c r="W20" s="65">
        <v>2</v>
      </c>
      <c r="X20" s="66">
        <f t="shared" si="4"/>
        <v>1</v>
      </c>
      <c r="Y20" s="66">
        <f t="shared" si="5"/>
        <v>0.8</v>
      </c>
      <c r="Z20" s="66">
        <f t="shared" si="6"/>
        <v>0.8</v>
      </c>
      <c r="AA20" s="66">
        <f t="shared" si="7"/>
        <v>1</v>
      </c>
      <c r="AB20" s="66">
        <f t="shared" si="8"/>
        <v>1</v>
      </c>
      <c r="AC20" s="67" t="str">
        <f t="shared" si="0"/>
        <v>o</v>
      </c>
      <c r="AD20" s="68">
        <f t="shared" si="1"/>
        <v>0.2727272727272727</v>
      </c>
      <c r="AE20" s="68">
        <f t="shared" si="2"/>
        <v>0.9090909090909091</v>
      </c>
      <c r="AF20" s="69">
        <f t="shared" si="3"/>
        <v>0.09090909090909091</v>
      </c>
    </row>
    <row r="21" spans="1:32" ht="15.75">
      <c r="A21" s="64" t="str">
        <f>à_lire!H9</f>
        <v>Enfaillite Mélusine</v>
      </c>
      <c r="B21" s="65">
        <v>2</v>
      </c>
      <c r="C21" s="65">
        <v>1</v>
      </c>
      <c r="D21" s="65">
        <v>1</v>
      </c>
      <c r="E21" s="65">
        <v>1</v>
      </c>
      <c r="F21" s="65">
        <v>1</v>
      </c>
      <c r="G21" s="65">
        <v>2</v>
      </c>
      <c r="H21" s="65">
        <v>9</v>
      </c>
      <c r="I21" s="65">
        <v>2</v>
      </c>
      <c r="J21" s="65">
        <v>9</v>
      </c>
      <c r="K21" s="65">
        <v>1</v>
      </c>
      <c r="L21" s="65">
        <v>2</v>
      </c>
      <c r="M21" s="65">
        <v>1</v>
      </c>
      <c r="N21" s="65">
        <v>9</v>
      </c>
      <c r="O21" s="65" t="s">
        <v>30</v>
      </c>
      <c r="P21" s="65">
        <v>1</v>
      </c>
      <c r="Q21" s="65">
        <v>2</v>
      </c>
      <c r="R21" s="65">
        <v>9</v>
      </c>
      <c r="S21" s="65">
        <v>9</v>
      </c>
      <c r="T21" s="65">
        <v>9</v>
      </c>
      <c r="U21" s="65">
        <v>9</v>
      </c>
      <c r="V21" s="65" t="s">
        <v>30</v>
      </c>
      <c r="W21" s="65">
        <v>9</v>
      </c>
      <c r="X21" s="66">
        <f t="shared" si="4"/>
        <v>1</v>
      </c>
      <c r="Y21" s="66">
        <f t="shared" si="5"/>
        <v>0.6</v>
      </c>
      <c r="Z21" s="66">
        <f t="shared" si="6"/>
        <v>0.75</v>
      </c>
      <c r="AA21" s="66">
        <f t="shared" si="7"/>
        <v>0</v>
      </c>
      <c r="AB21" s="66">
        <f t="shared" si="8"/>
        <v>0</v>
      </c>
      <c r="AC21" s="67" t="str">
        <f t="shared" si="0"/>
        <v>o</v>
      </c>
      <c r="AD21" s="68">
        <f t="shared" si="1"/>
        <v>0.35</v>
      </c>
      <c r="AE21" s="68">
        <f t="shared" si="2"/>
        <v>0.6</v>
      </c>
      <c r="AF21" s="69">
        <f t="shared" si="3"/>
        <v>0.4</v>
      </c>
    </row>
    <row r="22" spans="1:32" ht="15.75">
      <c r="A22" s="64" t="str">
        <f>à_lire!H10</f>
        <v>Fréchi Sarah</v>
      </c>
      <c r="B22" s="65">
        <v>1</v>
      </c>
      <c r="C22" s="65">
        <v>1</v>
      </c>
      <c r="D22" s="65">
        <v>1</v>
      </c>
      <c r="E22" s="65">
        <v>2</v>
      </c>
      <c r="F22" s="65">
        <v>1</v>
      </c>
      <c r="G22" s="65">
        <v>2</v>
      </c>
      <c r="H22" s="65">
        <v>1</v>
      </c>
      <c r="I22" s="65">
        <v>1</v>
      </c>
      <c r="J22" s="65">
        <v>1</v>
      </c>
      <c r="K22" s="65">
        <v>2</v>
      </c>
      <c r="L22" s="65">
        <v>2</v>
      </c>
      <c r="M22" s="65">
        <v>1</v>
      </c>
      <c r="N22" s="65">
        <v>1</v>
      </c>
      <c r="O22" s="65">
        <v>2</v>
      </c>
      <c r="P22" s="65">
        <v>1</v>
      </c>
      <c r="Q22" s="65">
        <v>1</v>
      </c>
      <c r="R22" s="65">
        <v>1</v>
      </c>
      <c r="S22" s="65">
        <v>1</v>
      </c>
      <c r="T22" s="65">
        <v>1</v>
      </c>
      <c r="U22" s="65">
        <v>2</v>
      </c>
      <c r="V22" s="65">
        <v>1</v>
      </c>
      <c r="W22" s="65">
        <v>1</v>
      </c>
      <c r="X22" s="66">
        <f t="shared" si="4"/>
        <v>1</v>
      </c>
      <c r="Y22" s="66">
        <f t="shared" si="5"/>
        <v>1</v>
      </c>
      <c r="Z22" s="66">
        <f t="shared" si="6"/>
        <v>1</v>
      </c>
      <c r="AA22" s="66">
        <f t="shared" si="7"/>
        <v>1</v>
      </c>
      <c r="AB22" s="66">
        <f t="shared" si="8"/>
        <v>1</v>
      </c>
      <c r="AC22" s="67" t="str">
        <f t="shared" si="0"/>
        <v>o</v>
      </c>
      <c r="AD22" s="68">
        <f t="shared" si="1"/>
        <v>0.7272727272727273</v>
      </c>
      <c r="AE22" s="68">
        <f t="shared" si="2"/>
        <v>1</v>
      </c>
      <c r="AF22" s="69">
        <f t="shared" si="3"/>
        <v>0</v>
      </c>
    </row>
    <row r="23" spans="1:32" ht="15.75">
      <c r="A23" s="64" t="str">
        <f>à_lire!H11</f>
        <v>Hutte Sacha</v>
      </c>
      <c r="B23" s="65">
        <v>1</v>
      </c>
      <c r="C23" s="65">
        <v>1</v>
      </c>
      <c r="D23" s="65">
        <v>1</v>
      </c>
      <c r="E23" s="65">
        <v>9</v>
      </c>
      <c r="F23" s="65">
        <v>1</v>
      </c>
      <c r="G23" s="65">
        <v>9</v>
      </c>
      <c r="H23" s="65">
        <v>1</v>
      </c>
      <c r="I23" s="65">
        <v>1</v>
      </c>
      <c r="J23" s="65">
        <v>1</v>
      </c>
      <c r="K23" s="65">
        <v>1</v>
      </c>
      <c r="L23" s="65">
        <v>1</v>
      </c>
      <c r="M23" s="65">
        <v>1</v>
      </c>
      <c r="N23" s="65">
        <v>9</v>
      </c>
      <c r="O23" s="65">
        <v>0</v>
      </c>
      <c r="P23" s="65">
        <v>1</v>
      </c>
      <c r="Q23" s="65">
        <v>1</v>
      </c>
      <c r="R23" s="65">
        <v>9</v>
      </c>
      <c r="S23" s="65">
        <v>1</v>
      </c>
      <c r="T23" s="65">
        <v>1</v>
      </c>
      <c r="U23" s="65">
        <v>1</v>
      </c>
      <c r="V23" s="65">
        <v>1</v>
      </c>
      <c r="W23" s="65">
        <v>1</v>
      </c>
      <c r="X23" s="66">
        <f t="shared" si="4"/>
        <v>0.6666666666666666</v>
      </c>
      <c r="Y23" s="66">
        <f t="shared" si="5"/>
        <v>1</v>
      </c>
      <c r="Z23" s="66">
        <f t="shared" si="6"/>
        <v>0.6</v>
      </c>
      <c r="AA23" s="66">
        <f t="shared" si="7"/>
        <v>0.5</v>
      </c>
      <c r="AB23" s="66">
        <f t="shared" si="8"/>
        <v>1</v>
      </c>
      <c r="AC23" s="67" t="str">
        <f t="shared" si="0"/>
        <v>o</v>
      </c>
      <c r="AD23" s="68">
        <f t="shared" si="1"/>
        <v>0.7727272727272727</v>
      </c>
      <c r="AE23" s="68">
        <f t="shared" si="2"/>
        <v>0.7727272727272727</v>
      </c>
      <c r="AF23" s="69">
        <f t="shared" si="3"/>
        <v>0.22727272727272727</v>
      </c>
    </row>
    <row r="24" spans="1:32" ht="15.75">
      <c r="A24" s="64" t="str">
        <f>à_lire!H12</f>
        <v>Itmieu Elmer</v>
      </c>
      <c r="B24" s="65">
        <v>2</v>
      </c>
      <c r="C24" s="65">
        <v>2</v>
      </c>
      <c r="D24" s="65">
        <v>1</v>
      </c>
      <c r="E24" s="65">
        <v>1</v>
      </c>
      <c r="F24" s="65">
        <v>1</v>
      </c>
      <c r="G24" s="65">
        <v>1</v>
      </c>
      <c r="H24" s="65">
        <v>2</v>
      </c>
      <c r="I24" s="65">
        <v>9</v>
      </c>
      <c r="J24" s="65">
        <v>2</v>
      </c>
      <c r="K24" s="65">
        <v>2</v>
      </c>
      <c r="L24" s="65">
        <v>9</v>
      </c>
      <c r="M24" s="65">
        <v>9</v>
      </c>
      <c r="N24" s="65">
        <v>2</v>
      </c>
      <c r="O24" s="65">
        <v>1</v>
      </c>
      <c r="P24" s="65">
        <v>1</v>
      </c>
      <c r="Q24" s="65">
        <v>1</v>
      </c>
      <c r="R24" s="65">
        <v>1</v>
      </c>
      <c r="S24" s="65">
        <v>2</v>
      </c>
      <c r="T24" s="65">
        <v>9</v>
      </c>
      <c r="U24" s="65">
        <v>2</v>
      </c>
      <c r="V24" s="65">
        <v>2</v>
      </c>
      <c r="W24" s="65">
        <v>2</v>
      </c>
      <c r="X24" s="66">
        <f t="shared" si="4"/>
        <v>1</v>
      </c>
      <c r="Y24" s="66">
        <f t="shared" si="5"/>
        <v>0.6</v>
      </c>
      <c r="Z24" s="66">
        <f t="shared" si="6"/>
        <v>0.8</v>
      </c>
      <c r="AA24" s="66">
        <f t="shared" si="7"/>
        <v>1</v>
      </c>
      <c r="AB24" s="66">
        <f t="shared" si="8"/>
        <v>0.75</v>
      </c>
      <c r="AC24" s="67" t="str">
        <f t="shared" si="0"/>
        <v>o</v>
      </c>
      <c r="AD24" s="68">
        <f t="shared" si="1"/>
        <v>0.36363636363636365</v>
      </c>
      <c r="AE24" s="68">
        <f t="shared" si="2"/>
        <v>0.8181818181818182</v>
      </c>
      <c r="AF24" s="69">
        <f t="shared" si="3"/>
        <v>0.18181818181818182</v>
      </c>
    </row>
    <row r="25" spans="1:32" ht="15.75">
      <c r="A25" s="64" t="str">
        <f>à_lire!H13</f>
        <v>Kelpeuv Alphonse</v>
      </c>
      <c r="B25" s="65">
        <v>2</v>
      </c>
      <c r="C25" s="65">
        <v>1</v>
      </c>
      <c r="D25" s="65">
        <v>1</v>
      </c>
      <c r="E25" s="65">
        <v>1</v>
      </c>
      <c r="F25" s="65">
        <v>1</v>
      </c>
      <c r="G25" s="65">
        <v>2</v>
      </c>
      <c r="H25" s="65">
        <v>9</v>
      </c>
      <c r="I25" s="65">
        <v>2</v>
      </c>
      <c r="J25" s="65">
        <v>9</v>
      </c>
      <c r="K25" s="65">
        <v>2</v>
      </c>
      <c r="L25" s="65">
        <v>1</v>
      </c>
      <c r="M25" s="65">
        <v>1</v>
      </c>
      <c r="N25" s="65">
        <v>2</v>
      </c>
      <c r="O25" s="65">
        <v>1</v>
      </c>
      <c r="P25" s="65">
        <v>1</v>
      </c>
      <c r="Q25" s="65">
        <v>1</v>
      </c>
      <c r="R25" s="65">
        <v>1</v>
      </c>
      <c r="S25" s="65">
        <v>2</v>
      </c>
      <c r="T25" s="65">
        <v>9</v>
      </c>
      <c r="U25" s="65">
        <v>2</v>
      </c>
      <c r="V25" s="65">
        <v>9</v>
      </c>
      <c r="W25" s="65">
        <v>9</v>
      </c>
      <c r="X25" s="66">
        <f t="shared" si="4"/>
        <v>1</v>
      </c>
      <c r="Y25" s="66">
        <f t="shared" si="5"/>
        <v>0.6</v>
      </c>
      <c r="Z25" s="66">
        <f t="shared" si="6"/>
        <v>1</v>
      </c>
      <c r="AA25" s="66">
        <f t="shared" si="7"/>
        <v>1</v>
      </c>
      <c r="AB25" s="66">
        <f t="shared" si="8"/>
        <v>0.25</v>
      </c>
      <c r="AC25" s="67" t="str">
        <f t="shared" si="0"/>
        <v>o</v>
      </c>
      <c r="AD25" s="68">
        <f t="shared" si="1"/>
        <v>0.45454545454545453</v>
      </c>
      <c r="AE25" s="68">
        <f t="shared" si="2"/>
        <v>0.7727272727272727</v>
      </c>
      <c r="AF25" s="69">
        <f t="shared" si="3"/>
        <v>0.22727272727272727</v>
      </c>
    </row>
    <row r="26" spans="1:32" ht="15.75">
      <c r="A26" s="64" t="str">
        <f>à_lire!H14</f>
        <v>Kepoura Adrienne</v>
      </c>
      <c r="B26" s="65">
        <v>1</v>
      </c>
      <c r="C26" s="65">
        <v>1</v>
      </c>
      <c r="D26" s="65">
        <v>1</v>
      </c>
      <c r="E26" s="65">
        <v>2</v>
      </c>
      <c r="F26" s="65">
        <v>1</v>
      </c>
      <c r="G26" s="65">
        <v>1</v>
      </c>
      <c r="H26" s="65">
        <v>1</v>
      </c>
      <c r="I26" s="65">
        <v>2</v>
      </c>
      <c r="J26" s="65">
        <v>1</v>
      </c>
      <c r="K26" s="65">
        <v>1</v>
      </c>
      <c r="L26" s="65">
        <v>1</v>
      </c>
      <c r="M26" s="65">
        <v>1</v>
      </c>
      <c r="N26" s="65">
        <v>1</v>
      </c>
      <c r="O26" s="65">
        <v>1</v>
      </c>
      <c r="P26" s="65">
        <v>1</v>
      </c>
      <c r="Q26" s="65">
        <v>2</v>
      </c>
      <c r="R26" s="65">
        <v>1</v>
      </c>
      <c r="S26" s="65">
        <v>2</v>
      </c>
      <c r="T26" s="65">
        <v>1</v>
      </c>
      <c r="U26" s="65">
        <v>1</v>
      </c>
      <c r="V26" s="65">
        <v>1</v>
      </c>
      <c r="W26" s="65">
        <v>1</v>
      </c>
      <c r="X26" s="66">
        <f t="shared" si="4"/>
        <v>1</v>
      </c>
      <c r="Y26" s="66">
        <f t="shared" si="5"/>
        <v>1</v>
      </c>
      <c r="Z26" s="66">
        <f t="shared" si="6"/>
        <v>1</v>
      </c>
      <c r="AA26" s="66">
        <f t="shared" si="7"/>
        <v>1</v>
      </c>
      <c r="AB26" s="66">
        <f t="shared" si="8"/>
        <v>1</v>
      </c>
      <c r="AC26" s="67" t="str">
        <f t="shared" si="0"/>
        <v>o</v>
      </c>
      <c r="AD26" s="68">
        <f t="shared" si="1"/>
        <v>0.8181818181818182</v>
      </c>
      <c r="AE26" s="68">
        <f t="shared" si="2"/>
        <v>1</v>
      </c>
      <c r="AF26" s="69">
        <f t="shared" si="3"/>
        <v>0</v>
      </c>
    </row>
    <row r="27" spans="1:32" ht="15.75">
      <c r="A27" s="64" t="str">
        <f>à_lire!H15</f>
        <v>Labrosse Adam</v>
      </c>
      <c r="B27" s="65">
        <v>1</v>
      </c>
      <c r="C27" s="65">
        <v>2</v>
      </c>
      <c r="D27" s="65">
        <v>1</v>
      </c>
      <c r="E27" s="65">
        <v>2</v>
      </c>
      <c r="F27" s="65">
        <v>1</v>
      </c>
      <c r="G27" s="65">
        <v>9</v>
      </c>
      <c r="H27" s="65">
        <v>1</v>
      </c>
      <c r="I27" s="65">
        <v>9</v>
      </c>
      <c r="J27" s="65">
        <v>1</v>
      </c>
      <c r="K27" s="65">
        <v>1</v>
      </c>
      <c r="L27" s="65">
        <v>2</v>
      </c>
      <c r="M27" s="65">
        <v>1</v>
      </c>
      <c r="N27" s="65">
        <v>1</v>
      </c>
      <c r="O27" s="65">
        <v>2</v>
      </c>
      <c r="P27" s="65">
        <v>1</v>
      </c>
      <c r="Q27" s="65">
        <v>1</v>
      </c>
      <c r="R27" s="65">
        <v>2</v>
      </c>
      <c r="S27" s="65">
        <v>9</v>
      </c>
      <c r="T27" s="65">
        <v>1</v>
      </c>
      <c r="U27" s="65">
        <v>2</v>
      </c>
      <c r="V27" s="65">
        <v>2</v>
      </c>
      <c r="W27" s="65">
        <v>1</v>
      </c>
      <c r="X27" s="66">
        <f t="shared" si="4"/>
        <v>0.8333333333333334</v>
      </c>
      <c r="Y27" s="66">
        <f t="shared" si="5"/>
        <v>0.8</v>
      </c>
      <c r="Z27" s="66">
        <f t="shared" si="6"/>
        <v>1</v>
      </c>
      <c r="AA27" s="66">
        <f t="shared" si="7"/>
        <v>0.5</v>
      </c>
      <c r="AB27" s="66">
        <f t="shared" si="8"/>
        <v>1</v>
      </c>
      <c r="AC27" s="67" t="str">
        <f t="shared" si="0"/>
        <v>o</v>
      </c>
      <c r="AD27" s="68">
        <f t="shared" si="1"/>
        <v>0.5454545454545454</v>
      </c>
      <c r="AE27" s="68">
        <f t="shared" si="2"/>
        <v>0.8636363636363636</v>
      </c>
      <c r="AF27" s="69">
        <f t="shared" si="3"/>
        <v>0.13636363636363635</v>
      </c>
    </row>
    <row r="28" spans="1:32" ht="15.75">
      <c r="A28" s="64" t="str">
        <f>à_lire!H16</f>
        <v>Iléosud Eléonore</v>
      </c>
      <c r="B28" s="65">
        <v>1</v>
      </c>
      <c r="C28" s="65">
        <v>1</v>
      </c>
      <c r="D28" s="65">
        <v>1</v>
      </c>
      <c r="E28" s="65">
        <v>1</v>
      </c>
      <c r="F28" s="65">
        <v>1</v>
      </c>
      <c r="G28" s="65">
        <v>1</v>
      </c>
      <c r="H28" s="65">
        <v>1</v>
      </c>
      <c r="I28" s="65">
        <v>2</v>
      </c>
      <c r="J28" s="65">
        <v>1</v>
      </c>
      <c r="K28" s="65">
        <v>1</v>
      </c>
      <c r="L28" s="65">
        <v>1</v>
      </c>
      <c r="M28" s="65">
        <v>1</v>
      </c>
      <c r="N28" s="65">
        <v>1</v>
      </c>
      <c r="O28" s="65">
        <v>1</v>
      </c>
      <c r="P28" s="65">
        <v>1</v>
      </c>
      <c r="Q28" s="65">
        <v>1</v>
      </c>
      <c r="R28" s="65">
        <v>1</v>
      </c>
      <c r="S28" s="65">
        <v>2</v>
      </c>
      <c r="T28" s="65">
        <v>1</v>
      </c>
      <c r="U28" s="65">
        <v>1</v>
      </c>
      <c r="V28" s="65">
        <v>2</v>
      </c>
      <c r="W28" s="65">
        <v>1</v>
      </c>
      <c r="X28" s="66">
        <f t="shared" si="4"/>
        <v>1</v>
      </c>
      <c r="Y28" s="66">
        <f t="shared" si="5"/>
        <v>1</v>
      </c>
      <c r="Z28" s="66">
        <f t="shared" si="6"/>
        <v>1</v>
      </c>
      <c r="AA28" s="66">
        <f t="shared" si="7"/>
        <v>1</v>
      </c>
      <c r="AB28" s="66">
        <f t="shared" si="8"/>
        <v>1</v>
      </c>
      <c r="AC28" s="67" t="str">
        <f t="shared" si="0"/>
        <v>o</v>
      </c>
      <c r="AD28" s="68">
        <f t="shared" si="1"/>
        <v>0.8636363636363636</v>
      </c>
      <c r="AE28" s="68">
        <f t="shared" si="2"/>
        <v>1</v>
      </c>
      <c r="AF28" s="69">
        <f t="shared" si="3"/>
        <v>0</v>
      </c>
    </row>
    <row r="29" spans="1:32" ht="15.75">
      <c r="A29" s="64" t="str">
        <f>à_lire!H17</f>
        <v>Javel Aude</v>
      </c>
      <c r="B29" s="65">
        <v>2</v>
      </c>
      <c r="C29" s="65">
        <v>1</v>
      </c>
      <c r="D29" s="65">
        <v>2</v>
      </c>
      <c r="E29" s="65">
        <v>2</v>
      </c>
      <c r="F29" s="65">
        <v>1</v>
      </c>
      <c r="G29" s="65">
        <v>2</v>
      </c>
      <c r="H29" s="65">
        <v>1</v>
      </c>
      <c r="I29" s="65">
        <v>9</v>
      </c>
      <c r="J29" s="65">
        <v>1</v>
      </c>
      <c r="K29" s="65">
        <v>1</v>
      </c>
      <c r="L29" s="65">
        <v>2</v>
      </c>
      <c r="M29" s="65">
        <v>1</v>
      </c>
      <c r="N29" s="65">
        <v>1</v>
      </c>
      <c r="O29" s="65">
        <v>1</v>
      </c>
      <c r="P29" s="65">
        <v>1</v>
      </c>
      <c r="Q29" s="65">
        <v>2</v>
      </c>
      <c r="R29" s="65">
        <v>2</v>
      </c>
      <c r="S29" s="65">
        <v>9</v>
      </c>
      <c r="T29" s="65">
        <v>1</v>
      </c>
      <c r="U29" s="65">
        <v>1</v>
      </c>
      <c r="V29" s="65">
        <v>0</v>
      </c>
      <c r="W29" s="65">
        <v>1</v>
      </c>
      <c r="X29" s="66">
        <f t="shared" si="4"/>
        <v>1</v>
      </c>
      <c r="Y29" s="66">
        <f t="shared" si="5"/>
        <v>0.8</v>
      </c>
      <c r="Z29" s="66">
        <f t="shared" si="6"/>
        <v>1</v>
      </c>
      <c r="AA29" s="66">
        <f t="shared" si="7"/>
        <v>0.5</v>
      </c>
      <c r="AB29" s="66">
        <f t="shared" si="8"/>
        <v>0.75</v>
      </c>
      <c r="AC29" s="67" t="str">
        <f t="shared" si="0"/>
        <v>o</v>
      </c>
      <c r="AD29" s="68">
        <f t="shared" si="1"/>
        <v>0.5454545454545454</v>
      </c>
      <c r="AE29" s="68">
        <f t="shared" si="2"/>
        <v>0.8636363636363636</v>
      </c>
      <c r="AF29" s="69">
        <f t="shared" si="3"/>
        <v>0.13636363636363635</v>
      </c>
    </row>
    <row r="30" spans="1:32" ht="15.75">
      <c r="A30" s="64" t="str">
        <f>à_lire!H18</f>
        <v>Liguili Guy</v>
      </c>
      <c r="B30" s="65">
        <v>9</v>
      </c>
      <c r="C30" s="65">
        <v>9</v>
      </c>
      <c r="D30" s="65">
        <v>9</v>
      </c>
      <c r="E30" s="65">
        <v>2</v>
      </c>
      <c r="F30" s="65">
        <v>1</v>
      </c>
      <c r="G30" s="65">
        <v>1</v>
      </c>
      <c r="H30" s="65">
        <v>1</v>
      </c>
      <c r="I30" s="65">
        <v>1</v>
      </c>
      <c r="J30" s="65">
        <v>2</v>
      </c>
      <c r="K30" s="65">
        <v>9</v>
      </c>
      <c r="L30" s="65">
        <v>2</v>
      </c>
      <c r="M30" s="65">
        <v>9</v>
      </c>
      <c r="N30" s="65">
        <v>2</v>
      </c>
      <c r="O30" s="65">
        <v>1</v>
      </c>
      <c r="P30" s="65">
        <v>1</v>
      </c>
      <c r="Q30" s="65">
        <v>1</v>
      </c>
      <c r="R30" s="65">
        <v>1</v>
      </c>
      <c r="S30" s="65">
        <v>2</v>
      </c>
      <c r="T30" s="65">
        <v>9</v>
      </c>
      <c r="U30" s="65">
        <v>2</v>
      </c>
      <c r="V30" s="65">
        <v>9</v>
      </c>
      <c r="W30" s="65">
        <v>9</v>
      </c>
      <c r="X30" s="66">
        <f t="shared" si="4"/>
        <v>0.5</v>
      </c>
      <c r="Y30" s="66">
        <f t="shared" si="5"/>
        <v>0.8</v>
      </c>
      <c r="Z30" s="66">
        <f t="shared" si="6"/>
        <v>0.8</v>
      </c>
      <c r="AA30" s="66">
        <f t="shared" si="7"/>
        <v>1</v>
      </c>
      <c r="AB30" s="66">
        <f t="shared" si="8"/>
        <v>0.25</v>
      </c>
      <c r="AC30" s="67" t="str">
        <f t="shared" si="0"/>
        <v>o</v>
      </c>
      <c r="AD30" s="68">
        <f t="shared" si="1"/>
        <v>0.36363636363636365</v>
      </c>
      <c r="AE30" s="68">
        <f t="shared" si="2"/>
        <v>0.6363636363636364</v>
      </c>
      <c r="AF30" s="69">
        <f t="shared" si="3"/>
        <v>0.36363636363636365</v>
      </c>
    </row>
    <row r="31" spans="1:32" ht="15.75">
      <c r="A31" s="64" t="str">
        <f>à_lire!H19</f>
        <v>Menvussa Gérard</v>
      </c>
      <c r="B31" s="65">
        <v>1</v>
      </c>
      <c r="C31" s="65">
        <v>1</v>
      </c>
      <c r="D31" s="65">
        <v>1</v>
      </c>
      <c r="E31" s="65">
        <v>1</v>
      </c>
      <c r="F31" s="65">
        <v>1</v>
      </c>
      <c r="G31" s="65">
        <v>1</v>
      </c>
      <c r="H31" s="65">
        <v>1</v>
      </c>
      <c r="I31" s="65">
        <v>1</v>
      </c>
      <c r="J31" s="65">
        <v>1</v>
      </c>
      <c r="K31" s="65">
        <v>1</v>
      </c>
      <c r="L31" s="65">
        <v>1</v>
      </c>
      <c r="M31" s="65">
        <v>1</v>
      </c>
      <c r="N31" s="65">
        <v>1</v>
      </c>
      <c r="O31" s="65">
        <v>1</v>
      </c>
      <c r="P31" s="65">
        <v>1</v>
      </c>
      <c r="Q31" s="65">
        <v>1</v>
      </c>
      <c r="R31" s="65">
        <v>1</v>
      </c>
      <c r="S31" s="65">
        <v>1</v>
      </c>
      <c r="T31" s="65">
        <v>1</v>
      </c>
      <c r="U31" s="65">
        <v>1</v>
      </c>
      <c r="V31" s="65">
        <v>1</v>
      </c>
      <c r="W31" s="65">
        <v>1</v>
      </c>
      <c r="X31" s="66">
        <f t="shared" si="4"/>
        <v>1</v>
      </c>
      <c r="Y31" s="66">
        <f t="shared" si="5"/>
        <v>1</v>
      </c>
      <c r="Z31" s="66">
        <f t="shared" si="6"/>
        <v>1</v>
      </c>
      <c r="AA31" s="66">
        <f t="shared" si="7"/>
        <v>1</v>
      </c>
      <c r="AB31" s="66">
        <f t="shared" si="8"/>
        <v>1</v>
      </c>
      <c r="AC31" s="67" t="str">
        <f t="shared" si="0"/>
        <v>o</v>
      </c>
      <c r="AD31" s="68">
        <f t="shared" si="1"/>
        <v>1</v>
      </c>
      <c r="AE31" s="68">
        <f t="shared" si="2"/>
        <v>1</v>
      </c>
      <c r="AF31" s="69">
        <f t="shared" si="3"/>
        <v>0</v>
      </c>
    </row>
    <row r="32" spans="1:32" ht="15.75">
      <c r="A32" s="64" t="str">
        <f>à_lire!H20</f>
        <v>Micoton Milène</v>
      </c>
      <c r="B32" s="65">
        <v>1</v>
      </c>
      <c r="C32" s="65">
        <v>2</v>
      </c>
      <c r="D32" s="65">
        <v>1</v>
      </c>
      <c r="E32" s="65">
        <v>1</v>
      </c>
      <c r="F32" s="65">
        <v>1</v>
      </c>
      <c r="G32" s="65">
        <v>1</v>
      </c>
      <c r="H32" s="65">
        <v>2</v>
      </c>
      <c r="I32" s="65">
        <v>9</v>
      </c>
      <c r="J32" s="65">
        <v>2</v>
      </c>
      <c r="K32" s="65">
        <v>1</v>
      </c>
      <c r="L32" s="65">
        <v>2</v>
      </c>
      <c r="M32" s="65">
        <v>1</v>
      </c>
      <c r="N32" s="65">
        <v>1</v>
      </c>
      <c r="O32" s="65">
        <v>0</v>
      </c>
      <c r="P32" s="65">
        <v>1</v>
      </c>
      <c r="Q32" s="65">
        <v>1</v>
      </c>
      <c r="R32" s="65">
        <v>1</v>
      </c>
      <c r="S32" s="65">
        <v>9</v>
      </c>
      <c r="T32" s="65">
        <v>1</v>
      </c>
      <c r="U32" s="65">
        <v>2</v>
      </c>
      <c r="V32" s="65">
        <v>9</v>
      </c>
      <c r="W32" s="65">
        <v>9</v>
      </c>
      <c r="X32" s="66">
        <f t="shared" si="4"/>
        <v>1</v>
      </c>
      <c r="Y32" s="66">
        <f t="shared" si="5"/>
        <v>0.8</v>
      </c>
      <c r="Z32" s="66">
        <f t="shared" si="6"/>
        <v>0.8</v>
      </c>
      <c r="AA32" s="66">
        <f t="shared" si="7"/>
        <v>0.5</v>
      </c>
      <c r="AB32" s="66">
        <f t="shared" si="8"/>
        <v>0.5</v>
      </c>
      <c r="AC32" s="67" t="str">
        <f t="shared" si="0"/>
        <v>o</v>
      </c>
      <c r="AD32" s="68">
        <f t="shared" si="1"/>
        <v>0.5454545454545454</v>
      </c>
      <c r="AE32" s="68">
        <f t="shared" si="2"/>
        <v>0.7727272727272727</v>
      </c>
      <c r="AF32" s="69">
        <f t="shared" si="3"/>
        <v>0.22727272727272727</v>
      </c>
    </row>
    <row r="33" spans="1:32" ht="15.75">
      <c r="A33" s="64" t="str">
        <f>à_lire!H21</f>
        <v>Pérémère Yvan</v>
      </c>
      <c r="B33" s="65">
        <v>1</v>
      </c>
      <c r="C33" s="65">
        <v>1</v>
      </c>
      <c r="D33" s="65">
        <v>9</v>
      </c>
      <c r="E33" s="65">
        <v>9</v>
      </c>
      <c r="F33" s="65">
        <v>9</v>
      </c>
      <c r="G33" s="65">
        <v>9</v>
      </c>
      <c r="H33" s="65">
        <v>9</v>
      </c>
      <c r="I33" s="65">
        <v>9</v>
      </c>
      <c r="J33" s="65">
        <v>2</v>
      </c>
      <c r="K33" s="65">
        <v>1</v>
      </c>
      <c r="L33" s="65">
        <v>1</v>
      </c>
      <c r="M33" s="65">
        <v>1</v>
      </c>
      <c r="N33" s="65">
        <v>1</v>
      </c>
      <c r="O33" s="65">
        <v>0</v>
      </c>
      <c r="P33" s="65">
        <v>1</v>
      </c>
      <c r="Q33" s="65">
        <v>1</v>
      </c>
      <c r="R33" s="65">
        <v>1</v>
      </c>
      <c r="S33" s="65">
        <v>2</v>
      </c>
      <c r="T33" s="65">
        <v>1</v>
      </c>
      <c r="U33" s="65">
        <v>9</v>
      </c>
      <c r="V33" s="65">
        <v>0</v>
      </c>
      <c r="W33" s="65">
        <v>9</v>
      </c>
      <c r="X33" s="66">
        <f t="shared" si="4"/>
        <v>0.3333333333333333</v>
      </c>
      <c r="Y33" s="66">
        <f t="shared" si="5"/>
        <v>0.6</v>
      </c>
      <c r="Z33" s="66">
        <f t="shared" si="6"/>
        <v>0.8</v>
      </c>
      <c r="AA33" s="66">
        <f t="shared" si="7"/>
        <v>1</v>
      </c>
      <c r="AB33" s="66">
        <f t="shared" si="8"/>
        <v>0.25</v>
      </c>
      <c r="AC33" s="67" t="str">
        <f t="shared" si="0"/>
        <v>o</v>
      </c>
      <c r="AD33" s="68">
        <f t="shared" si="1"/>
        <v>0.45454545454545453</v>
      </c>
      <c r="AE33" s="68">
        <f t="shared" si="2"/>
        <v>0.5454545454545454</v>
      </c>
      <c r="AF33" s="69">
        <f t="shared" si="3"/>
        <v>0.45454545454545453</v>
      </c>
    </row>
    <row r="34" spans="1:32" ht="15.75">
      <c r="A34" s="64" t="str">
        <f>à_lire!H22</f>
        <v>Saloy Bénédicte</v>
      </c>
      <c r="B34" s="65">
        <v>1</v>
      </c>
      <c r="C34" s="65">
        <v>1</v>
      </c>
      <c r="D34" s="65">
        <v>2</v>
      </c>
      <c r="E34" s="65">
        <v>1</v>
      </c>
      <c r="F34" s="65">
        <v>1</v>
      </c>
      <c r="G34" s="65">
        <v>2</v>
      </c>
      <c r="H34" s="65">
        <v>1</v>
      </c>
      <c r="I34" s="65">
        <v>1</v>
      </c>
      <c r="J34" s="65">
        <v>1</v>
      </c>
      <c r="K34" s="65">
        <v>1</v>
      </c>
      <c r="L34" s="65">
        <v>1</v>
      </c>
      <c r="M34" s="65">
        <v>1</v>
      </c>
      <c r="N34" s="65">
        <v>1</v>
      </c>
      <c r="O34" s="65">
        <v>2</v>
      </c>
      <c r="P34" s="65">
        <v>1</v>
      </c>
      <c r="Q34" s="65">
        <v>1</v>
      </c>
      <c r="R34" s="65">
        <v>1</v>
      </c>
      <c r="S34" s="65">
        <v>2</v>
      </c>
      <c r="T34" s="65">
        <v>2</v>
      </c>
      <c r="U34" s="65">
        <v>1</v>
      </c>
      <c r="V34" s="65">
        <v>2</v>
      </c>
      <c r="W34" s="65">
        <v>1</v>
      </c>
      <c r="X34" s="66">
        <f t="shared" si="4"/>
        <v>1</v>
      </c>
      <c r="Y34" s="66">
        <f t="shared" si="5"/>
        <v>1</v>
      </c>
      <c r="Z34" s="66">
        <f t="shared" si="6"/>
        <v>1</v>
      </c>
      <c r="AA34" s="66">
        <f t="shared" si="7"/>
        <v>1</v>
      </c>
      <c r="AB34" s="66">
        <f t="shared" si="8"/>
        <v>1</v>
      </c>
      <c r="AC34" s="67" t="str">
        <f t="shared" si="0"/>
        <v>o</v>
      </c>
      <c r="AD34" s="68">
        <f t="shared" si="1"/>
        <v>0.7272727272727273</v>
      </c>
      <c r="AE34" s="68">
        <f t="shared" si="2"/>
        <v>1</v>
      </c>
      <c r="AF34" s="69">
        <f t="shared" si="3"/>
        <v>0</v>
      </c>
    </row>
    <row r="35" spans="1:32" ht="15.75">
      <c r="A35" s="64" t="str">
        <f>à_lire!H23</f>
        <v>Tassion Félicie</v>
      </c>
      <c r="B35" s="65">
        <v>1</v>
      </c>
      <c r="C35" s="65">
        <v>1</v>
      </c>
      <c r="D35" s="65">
        <v>1</v>
      </c>
      <c r="E35" s="65">
        <v>1</v>
      </c>
      <c r="F35" s="65">
        <v>9</v>
      </c>
      <c r="G35" s="65">
        <v>9</v>
      </c>
      <c r="H35" s="65">
        <v>1</v>
      </c>
      <c r="I35" s="65">
        <v>1</v>
      </c>
      <c r="J35" s="65">
        <v>1</v>
      </c>
      <c r="K35" s="65">
        <v>1</v>
      </c>
      <c r="L35" s="65">
        <v>1</v>
      </c>
      <c r="M35" s="65">
        <v>1</v>
      </c>
      <c r="N35" s="65">
        <v>1</v>
      </c>
      <c r="O35" s="65">
        <v>1</v>
      </c>
      <c r="P35" s="65">
        <v>1</v>
      </c>
      <c r="Q35" s="65">
        <v>1</v>
      </c>
      <c r="R35" s="65">
        <v>1</v>
      </c>
      <c r="S35" s="65">
        <v>1</v>
      </c>
      <c r="T35" s="65">
        <v>1</v>
      </c>
      <c r="U35" s="65">
        <v>1</v>
      </c>
      <c r="V35" s="65">
        <v>1</v>
      </c>
      <c r="W35" s="65">
        <v>1</v>
      </c>
      <c r="X35" s="66">
        <f t="shared" si="4"/>
        <v>0.6666666666666666</v>
      </c>
      <c r="Y35" s="66">
        <f t="shared" si="5"/>
        <v>1</v>
      </c>
      <c r="Z35" s="66">
        <f t="shared" si="6"/>
        <v>1</v>
      </c>
      <c r="AA35" s="66">
        <f t="shared" si="7"/>
        <v>1</v>
      </c>
      <c r="AB35" s="66">
        <f t="shared" si="8"/>
        <v>1</v>
      </c>
      <c r="AC35" s="67" t="str">
        <f t="shared" si="0"/>
        <v>o</v>
      </c>
      <c r="AD35" s="68">
        <f t="shared" si="1"/>
        <v>0.9090909090909091</v>
      </c>
      <c r="AE35" s="68">
        <f t="shared" si="2"/>
        <v>0.9090909090909091</v>
      </c>
      <c r="AF35" s="69">
        <f t="shared" si="3"/>
        <v>0.09090909090909091</v>
      </c>
    </row>
    <row r="36" spans="1:32" ht="15.75">
      <c r="A36" s="64" t="str">
        <f>à_lire!H24</f>
        <v>Técenfaute Dick</v>
      </c>
      <c r="B36" s="65">
        <v>1</v>
      </c>
      <c r="C36" s="65">
        <v>1</v>
      </c>
      <c r="D36" s="65">
        <v>1</v>
      </c>
      <c r="E36" s="65">
        <v>1</v>
      </c>
      <c r="F36" s="65">
        <v>1</v>
      </c>
      <c r="G36" s="65">
        <v>1</v>
      </c>
      <c r="H36" s="65">
        <v>1</v>
      </c>
      <c r="I36" s="65">
        <v>2</v>
      </c>
      <c r="J36" s="65">
        <v>1</v>
      </c>
      <c r="K36" s="65">
        <v>1</v>
      </c>
      <c r="L36" s="65">
        <v>2</v>
      </c>
      <c r="M36" s="65">
        <v>1</v>
      </c>
      <c r="N36" s="65">
        <v>2</v>
      </c>
      <c r="O36" s="65">
        <v>1</v>
      </c>
      <c r="P36" s="65">
        <v>2</v>
      </c>
      <c r="Q36" s="65">
        <v>1</v>
      </c>
      <c r="R36" s="65">
        <v>2</v>
      </c>
      <c r="S36" s="65">
        <v>9</v>
      </c>
      <c r="T36" s="65">
        <v>2</v>
      </c>
      <c r="U36" s="65">
        <v>2</v>
      </c>
      <c r="V36" s="65">
        <v>9</v>
      </c>
      <c r="W36" s="65">
        <v>1</v>
      </c>
      <c r="X36" s="66">
        <f t="shared" si="4"/>
        <v>1</v>
      </c>
      <c r="Y36" s="66">
        <f t="shared" si="5"/>
        <v>1</v>
      </c>
      <c r="Z36" s="66">
        <f t="shared" si="6"/>
        <v>1</v>
      </c>
      <c r="AA36" s="66">
        <f t="shared" si="7"/>
        <v>0.5</v>
      </c>
      <c r="AB36" s="66">
        <f t="shared" si="8"/>
        <v>0.75</v>
      </c>
      <c r="AC36" s="67" t="str">
        <f t="shared" si="0"/>
        <v>o</v>
      </c>
      <c r="AD36" s="68">
        <f t="shared" si="1"/>
        <v>0.5909090909090909</v>
      </c>
      <c r="AE36" s="68">
        <f t="shared" si="2"/>
        <v>0.9090909090909091</v>
      </c>
      <c r="AF36" s="69">
        <f t="shared" si="3"/>
        <v>0.09090909090909091</v>
      </c>
    </row>
    <row r="37" spans="1:32" ht="15.75">
      <c r="A37" s="64" t="str">
        <f>à_lire!H25</f>
        <v>Titouplin Jean</v>
      </c>
      <c r="B37" s="65">
        <v>1</v>
      </c>
      <c r="C37" s="65">
        <v>1</v>
      </c>
      <c r="D37" s="65">
        <v>1</v>
      </c>
      <c r="E37" s="65">
        <v>2</v>
      </c>
      <c r="F37" s="65">
        <v>1</v>
      </c>
      <c r="G37" s="65">
        <v>1</v>
      </c>
      <c r="H37" s="65">
        <v>1</v>
      </c>
      <c r="I37" s="65">
        <v>9</v>
      </c>
      <c r="J37" s="65">
        <v>1</v>
      </c>
      <c r="K37" s="65">
        <v>1</v>
      </c>
      <c r="L37" s="65">
        <v>9</v>
      </c>
      <c r="M37" s="65">
        <v>1</v>
      </c>
      <c r="N37" s="65">
        <v>2</v>
      </c>
      <c r="O37" s="65">
        <v>9</v>
      </c>
      <c r="P37" s="65">
        <v>1</v>
      </c>
      <c r="Q37" s="65">
        <v>1</v>
      </c>
      <c r="R37" s="65">
        <v>1</v>
      </c>
      <c r="S37" s="65">
        <v>9</v>
      </c>
      <c r="T37" s="65">
        <v>1</v>
      </c>
      <c r="U37" s="65">
        <v>9</v>
      </c>
      <c r="V37" s="65">
        <v>0</v>
      </c>
      <c r="W37" s="65">
        <v>2</v>
      </c>
      <c r="X37" s="66">
        <f t="shared" si="4"/>
        <v>1</v>
      </c>
      <c r="Y37" s="66">
        <f t="shared" si="5"/>
        <v>0.6</v>
      </c>
      <c r="Z37" s="66">
        <f t="shared" si="6"/>
        <v>0.8</v>
      </c>
      <c r="AA37" s="66">
        <f t="shared" si="7"/>
        <v>0.5</v>
      </c>
      <c r="AB37" s="66">
        <f t="shared" si="8"/>
        <v>0.5</v>
      </c>
      <c r="AC37" s="67" t="str">
        <f t="shared" si="0"/>
        <v>o</v>
      </c>
      <c r="AD37" s="68">
        <f t="shared" si="1"/>
        <v>0.5909090909090909</v>
      </c>
      <c r="AE37" s="68">
        <f t="shared" si="2"/>
        <v>0.7272727272727273</v>
      </c>
      <c r="AF37" s="69">
        <f t="shared" si="3"/>
        <v>0.2727272727272727</v>
      </c>
    </row>
    <row r="38" spans="1:32" ht="15.75">
      <c r="A38" s="64" t="str">
        <f>à_lire!H26</f>
        <v>Peudeau Justin</v>
      </c>
      <c r="B38" s="65" t="s">
        <v>30</v>
      </c>
      <c r="C38" s="65">
        <v>2</v>
      </c>
      <c r="D38" s="65">
        <v>1</v>
      </c>
      <c r="E38" s="65">
        <v>1</v>
      </c>
      <c r="F38" s="65">
        <v>1</v>
      </c>
      <c r="G38" s="65">
        <v>1</v>
      </c>
      <c r="H38" s="65">
        <v>2</v>
      </c>
      <c r="I38" s="65">
        <v>9</v>
      </c>
      <c r="J38" s="65">
        <v>2</v>
      </c>
      <c r="K38" s="65">
        <v>1</v>
      </c>
      <c r="L38" s="65">
        <v>2</v>
      </c>
      <c r="M38" s="65">
        <v>1</v>
      </c>
      <c r="N38" s="65">
        <v>1</v>
      </c>
      <c r="O38" s="65">
        <v>0</v>
      </c>
      <c r="P38" s="65">
        <v>1</v>
      </c>
      <c r="Q38" s="65">
        <v>1</v>
      </c>
      <c r="R38" s="65">
        <v>1</v>
      </c>
      <c r="S38" s="65">
        <v>9</v>
      </c>
      <c r="T38" s="65">
        <v>1</v>
      </c>
      <c r="U38" s="65">
        <v>2</v>
      </c>
      <c r="V38" s="65">
        <v>9</v>
      </c>
      <c r="W38" s="65">
        <v>9</v>
      </c>
      <c r="X38" s="66">
        <f t="shared" si="4"/>
        <v>1</v>
      </c>
      <c r="Y38" s="66">
        <f t="shared" si="5"/>
        <v>0.8</v>
      </c>
      <c r="Z38" s="66">
        <f t="shared" si="6"/>
        <v>0.8</v>
      </c>
      <c r="AA38" s="66">
        <f t="shared" si="7"/>
        <v>0.5</v>
      </c>
      <c r="AB38" s="66">
        <f t="shared" si="8"/>
        <v>0.5</v>
      </c>
      <c r="AC38" s="67" t="str">
        <f t="shared" si="0"/>
        <v>o</v>
      </c>
      <c r="AD38" s="68">
        <f t="shared" si="1"/>
        <v>0.5238095238095238</v>
      </c>
      <c r="AE38" s="68">
        <f t="shared" si="2"/>
        <v>0.7619047619047619</v>
      </c>
      <c r="AF38" s="69">
        <f t="shared" si="3"/>
        <v>0.23809523809523808</v>
      </c>
    </row>
    <row r="39" spans="1:32" ht="15.75">
      <c r="A39" s="64" t="str">
        <f>à_lire!H27</f>
        <v>Treux Jean-Régis</v>
      </c>
      <c r="B39" s="65">
        <v>1</v>
      </c>
      <c r="C39" s="65">
        <v>1</v>
      </c>
      <c r="D39" s="65">
        <v>9</v>
      </c>
      <c r="E39" s="65">
        <v>9</v>
      </c>
      <c r="F39" s="65">
        <v>9</v>
      </c>
      <c r="G39" s="65">
        <v>9</v>
      </c>
      <c r="H39" s="65">
        <v>9</v>
      </c>
      <c r="I39" s="65">
        <v>9</v>
      </c>
      <c r="J39" s="65">
        <v>2</v>
      </c>
      <c r="K39" s="65">
        <v>1</v>
      </c>
      <c r="L39" s="65">
        <v>1</v>
      </c>
      <c r="M39" s="65">
        <v>1</v>
      </c>
      <c r="N39" s="65">
        <v>1</v>
      </c>
      <c r="O39" s="65">
        <v>0</v>
      </c>
      <c r="P39" s="65">
        <v>1</v>
      </c>
      <c r="Q39" s="65">
        <v>1</v>
      </c>
      <c r="R39" s="65">
        <v>1</v>
      </c>
      <c r="S39" s="65">
        <v>2</v>
      </c>
      <c r="T39" s="65">
        <v>1</v>
      </c>
      <c r="U39" s="65">
        <v>9</v>
      </c>
      <c r="V39" s="65">
        <v>0</v>
      </c>
      <c r="W39" s="65">
        <v>9</v>
      </c>
      <c r="X39" s="66">
        <f t="shared" si="4"/>
        <v>0.3333333333333333</v>
      </c>
      <c r="Y39" s="66">
        <f t="shared" si="5"/>
        <v>0.6</v>
      </c>
      <c r="Z39" s="66">
        <f t="shared" si="6"/>
        <v>0.8</v>
      </c>
      <c r="AA39" s="66">
        <f t="shared" si="7"/>
        <v>1</v>
      </c>
      <c r="AB39" s="66">
        <f t="shared" si="8"/>
        <v>0.25</v>
      </c>
      <c r="AC39" s="67" t="str">
        <f t="shared" si="0"/>
        <v>o</v>
      </c>
      <c r="AD39" s="68">
        <f t="shared" si="1"/>
        <v>0.45454545454545453</v>
      </c>
      <c r="AE39" s="68">
        <f t="shared" si="2"/>
        <v>0.5454545454545454</v>
      </c>
      <c r="AF39" s="69">
        <f t="shared" si="3"/>
        <v>0.45454545454545453</v>
      </c>
    </row>
    <row r="40" spans="1:32" ht="15.75">
      <c r="A40" s="64" t="str">
        <f>à_lire!H28</f>
        <v>Tartine Kimberley</v>
      </c>
      <c r="B40" s="65">
        <v>1</v>
      </c>
      <c r="C40" s="65">
        <v>1</v>
      </c>
      <c r="D40" s="65">
        <v>1</v>
      </c>
      <c r="E40" s="65">
        <v>1</v>
      </c>
      <c r="F40" s="65">
        <v>1</v>
      </c>
      <c r="G40" s="65">
        <v>1</v>
      </c>
      <c r="H40" s="65">
        <v>1</v>
      </c>
      <c r="I40" s="65">
        <v>1</v>
      </c>
      <c r="J40" s="65">
        <v>1</v>
      </c>
      <c r="K40" s="65">
        <v>1</v>
      </c>
      <c r="L40" s="65">
        <v>1</v>
      </c>
      <c r="M40" s="65">
        <v>1</v>
      </c>
      <c r="N40" s="65">
        <v>1</v>
      </c>
      <c r="O40" s="65">
        <v>1</v>
      </c>
      <c r="P40" s="65">
        <v>1</v>
      </c>
      <c r="Q40" s="65">
        <v>1</v>
      </c>
      <c r="R40" s="65">
        <v>1</v>
      </c>
      <c r="S40" s="65">
        <v>1</v>
      </c>
      <c r="T40" s="65">
        <v>1</v>
      </c>
      <c r="U40" s="65">
        <v>1</v>
      </c>
      <c r="V40" s="65">
        <v>1</v>
      </c>
      <c r="W40" s="65">
        <v>1</v>
      </c>
      <c r="X40" s="66">
        <f t="shared" si="4"/>
        <v>1</v>
      </c>
      <c r="Y40" s="66">
        <f t="shared" si="5"/>
        <v>1</v>
      </c>
      <c r="Z40" s="66">
        <f t="shared" si="6"/>
        <v>1</v>
      </c>
      <c r="AA40" s="66">
        <f t="shared" si="7"/>
        <v>1</v>
      </c>
      <c r="AB40" s="66">
        <f t="shared" si="8"/>
        <v>1</v>
      </c>
      <c r="AC40" s="67" t="str">
        <f t="shared" si="0"/>
        <v>o</v>
      </c>
      <c r="AD40" s="68">
        <f t="shared" si="1"/>
        <v>1</v>
      </c>
      <c r="AE40" s="68">
        <f t="shared" si="2"/>
        <v>1</v>
      </c>
      <c r="AF40" s="69">
        <f t="shared" si="3"/>
        <v>0</v>
      </c>
    </row>
    <row r="41" spans="1:32" ht="15.75">
      <c r="A41" s="64" t="str">
        <f>à_lire!H29</f>
        <v>Gina Laurent</v>
      </c>
      <c r="B41" s="65" t="s">
        <v>30</v>
      </c>
      <c r="C41" s="65" t="s">
        <v>30</v>
      </c>
      <c r="D41" s="65" t="s">
        <v>30</v>
      </c>
      <c r="E41" s="65" t="s">
        <v>30</v>
      </c>
      <c r="F41" s="65" t="s">
        <v>30</v>
      </c>
      <c r="G41" s="65" t="s">
        <v>30</v>
      </c>
      <c r="H41" s="65" t="s">
        <v>30</v>
      </c>
      <c r="I41" s="65" t="s">
        <v>30</v>
      </c>
      <c r="J41" s="65" t="s">
        <v>30</v>
      </c>
      <c r="K41" s="65" t="s">
        <v>30</v>
      </c>
      <c r="L41" s="65" t="s">
        <v>30</v>
      </c>
      <c r="M41" s="65" t="s">
        <v>30</v>
      </c>
      <c r="N41" s="65" t="s">
        <v>30</v>
      </c>
      <c r="O41" s="65" t="s">
        <v>30</v>
      </c>
      <c r="P41" s="65" t="s">
        <v>30</v>
      </c>
      <c r="Q41" s="65" t="s">
        <v>30</v>
      </c>
      <c r="R41" s="65" t="s">
        <v>30</v>
      </c>
      <c r="S41" s="65" t="s">
        <v>30</v>
      </c>
      <c r="T41" s="65" t="s">
        <v>30</v>
      </c>
      <c r="U41" s="65" t="s">
        <v>30</v>
      </c>
      <c r="V41" s="65" t="s">
        <v>30</v>
      </c>
      <c r="W41" s="65" t="s">
        <v>30</v>
      </c>
      <c r="X41" s="66" t="str">
        <f t="shared" si="4"/>
        <v>n</v>
      </c>
      <c r="Y41" s="66" t="str">
        <f t="shared" si="5"/>
        <v>n</v>
      </c>
      <c r="Z41" s="66" t="str">
        <f t="shared" si="6"/>
        <v>n</v>
      </c>
      <c r="AA41" s="66" t="str">
        <f t="shared" si="7"/>
        <v>n</v>
      </c>
      <c r="AB41" s="66" t="str">
        <f t="shared" si="8"/>
        <v>n</v>
      </c>
      <c r="AC41" s="67" t="str">
        <f t="shared" si="0"/>
        <v>n</v>
      </c>
      <c r="AD41" s="68" t="str">
        <f t="shared" si="1"/>
        <v>n</v>
      </c>
      <c r="AE41" s="68" t="str">
        <f t="shared" si="2"/>
        <v>n</v>
      </c>
      <c r="AF41" s="69" t="e">
        <f t="shared" si="3"/>
        <v>#DIV/0!</v>
      </c>
    </row>
    <row r="42" spans="1:32" ht="15.75">
      <c r="A42" s="64" t="str">
        <f>à_lire!H30</f>
        <v>Stiké Sophie</v>
      </c>
      <c r="B42" s="65"/>
      <c r="C42" s="65"/>
      <c r="D42" s="65"/>
      <c r="E42" s="65"/>
      <c r="F42" s="65"/>
      <c r="G42" s="65"/>
      <c r="H42" s="65"/>
      <c r="I42" s="65"/>
      <c r="J42" s="65"/>
      <c r="K42" s="65"/>
      <c r="L42" s="65"/>
      <c r="M42" s="65"/>
      <c r="N42" s="65"/>
      <c r="O42" s="65"/>
      <c r="P42" s="65"/>
      <c r="Q42" s="65"/>
      <c r="R42" s="65"/>
      <c r="S42" s="65"/>
      <c r="T42" s="65"/>
      <c r="U42" s="65"/>
      <c r="V42" s="65"/>
      <c r="W42" s="65"/>
      <c r="X42" s="66" t="str">
        <f t="shared" si="4"/>
        <v>n</v>
      </c>
      <c r="Y42" s="66" t="str">
        <f t="shared" si="5"/>
        <v>n</v>
      </c>
      <c r="Z42" s="66" t="str">
        <f t="shared" si="6"/>
        <v>n</v>
      </c>
      <c r="AA42" s="66" t="str">
        <f t="shared" si="7"/>
        <v>n</v>
      </c>
      <c r="AB42" s="66" t="str">
        <f t="shared" si="8"/>
        <v>n</v>
      </c>
      <c r="AC42" s="67" t="str">
        <f t="shared" si="0"/>
        <v>n</v>
      </c>
      <c r="AD42" s="68" t="str">
        <f t="shared" si="1"/>
        <v>n</v>
      </c>
      <c r="AE42" s="68" t="str">
        <f t="shared" si="2"/>
        <v>n</v>
      </c>
      <c r="AF42" s="69">
        <f t="shared" si="3"/>
        <v>0</v>
      </c>
    </row>
    <row r="43" spans="1:32" ht="15.75">
      <c r="A43" s="64" t="str">
        <f>à_lire!H31</f>
        <v>Ouzy Jacques</v>
      </c>
      <c r="B43" s="65"/>
      <c r="C43" s="65"/>
      <c r="D43" s="65"/>
      <c r="E43" s="65"/>
      <c r="F43" s="65"/>
      <c r="G43" s="65"/>
      <c r="H43" s="65"/>
      <c r="I43" s="65"/>
      <c r="J43" s="65"/>
      <c r="K43" s="65"/>
      <c r="L43" s="65"/>
      <c r="M43" s="65"/>
      <c r="N43" s="65"/>
      <c r="O43" s="65"/>
      <c r="P43" s="65"/>
      <c r="Q43" s="65"/>
      <c r="R43" s="65"/>
      <c r="S43" s="65"/>
      <c r="T43" s="65"/>
      <c r="U43" s="65"/>
      <c r="V43" s="65"/>
      <c r="W43" s="65"/>
      <c r="X43" s="66" t="str">
        <f t="shared" si="4"/>
        <v>n</v>
      </c>
      <c r="Y43" s="66" t="str">
        <f t="shared" si="5"/>
        <v>n</v>
      </c>
      <c r="Z43" s="66" t="str">
        <f t="shared" si="6"/>
        <v>n</v>
      </c>
      <c r="AA43" s="66" t="str">
        <f t="shared" si="7"/>
        <v>n</v>
      </c>
      <c r="AB43" s="66" t="str">
        <f t="shared" si="8"/>
        <v>n</v>
      </c>
      <c r="AC43" s="67" t="str">
        <f t="shared" si="0"/>
        <v>n</v>
      </c>
      <c r="AD43" s="68" t="str">
        <f t="shared" si="1"/>
        <v>n</v>
      </c>
      <c r="AE43" s="68" t="str">
        <f t="shared" si="2"/>
        <v>n</v>
      </c>
      <c r="AF43" s="69">
        <f t="shared" si="3"/>
        <v>0</v>
      </c>
    </row>
    <row r="44" spans="1:32" ht="15.75">
      <c r="A44" s="64" t="str">
        <f>à_lire!H32</f>
        <v>Youbèbe Agathe</v>
      </c>
      <c r="B44" s="65"/>
      <c r="C44" s="65"/>
      <c r="D44" s="65"/>
      <c r="E44" s="65"/>
      <c r="F44" s="65"/>
      <c r="G44" s="65"/>
      <c r="H44" s="65"/>
      <c r="I44" s="65"/>
      <c r="J44" s="65"/>
      <c r="K44" s="65"/>
      <c r="L44" s="65"/>
      <c r="M44" s="65"/>
      <c r="N44" s="65"/>
      <c r="O44" s="65"/>
      <c r="P44" s="65"/>
      <c r="Q44" s="65"/>
      <c r="R44" s="65"/>
      <c r="S44" s="65"/>
      <c r="T44" s="65"/>
      <c r="U44" s="65"/>
      <c r="V44" s="65"/>
      <c r="W44" s="65"/>
      <c r="X44" s="66" t="str">
        <f t="shared" si="4"/>
        <v>n</v>
      </c>
      <c r="Y44" s="66" t="str">
        <f t="shared" si="5"/>
        <v>n</v>
      </c>
      <c r="Z44" s="66" t="str">
        <f t="shared" si="6"/>
        <v>n</v>
      </c>
      <c r="AA44" s="66" t="str">
        <f t="shared" si="7"/>
        <v>n</v>
      </c>
      <c r="AB44" s="66" t="str">
        <f t="shared" si="8"/>
        <v>n</v>
      </c>
      <c r="AC44" s="67" t="str">
        <f t="shared" si="0"/>
        <v>n</v>
      </c>
      <c r="AD44" s="68" t="str">
        <f t="shared" si="1"/>
        <v>n</v>
      </c>
      <c r="AE44" s="68" t="str">
        <f t="shared" si="2"/>
        <v>n</v>
      </c>
      <c r="AF44" s="69">
        <f t="shared" si="3"/>
        <v>0</v>
      </c>
    </row>
    <row r="45" spans="1:32" ht="15.75">
      <c r="A45" s="64" t="str">
        <f>à_lire!H33</f>
        <v>Elève31</v>
      </c>
      <c r="B45" s="65"/>
      <c r="C45" s="65"/>
      <c r="D45" s="65"/>
      <c r="E45" s="65"/>
      <c r="F45" s="65"/>
      <c r="G45" s="65"/>
      <c r="H45" s="65"/>
      <c r="I45" s="65"/>
      <c r="J45" s="65"/>
      <c r="K45" s="65"/>
      <c r="L45" s="65"/>
      <c r="M45" s="65"/>
      <c r="N45" s="65"/>
      <c r="O45" s="65"/>
      <c r="P45" s="65"/>
      <c r="Q45" s="65"/>
      <c r="R45" s="65"/>
      <c r="S45" s="65"/>
      <c r="T45" s="65"/>
      <c r="U45" s="65"/>
      <c r="V45" s="65"/>
      <c r="W45" s="65"/>
      <c r="X45" s="66" t="str">
        <f t="shared" si="4"/>
        <v>n</v>
      </c>
      <c r="Y45" s="66" t="str">
        <f t="shared" si="5"/>
        <v>n</v>
      </c>
      <c r="Z45" s="66" t="str">
        <f t="shared" si="6"/>
        <v>n</v>
      </c>
      <c r="AA45" s="66" t="str">
        <f t="shared" si="7"/>
        <v>n</v>
      </c>
      <c r="AB45" s="66" t="str">
        <f t="shared" si="8"/>
        <v>n</v>
      </c>
      <c r="AC45" s="67" t="str">
        <f t="shared" si="0"/>
        <v>n</v>
      </c>
      <c r="AD45" s="68" t="str">
        <f t="shared" si="1"/>
        <v>n</v>
      </c>
      <c r="AE45" s="68" t="str">
        <f t="shared" si="2"/>
        <v>n</v>
      </c>
      <c r="AF45" s="167"/>
    </row>
    <row r="46" spans="1:32" ht="15.75">
      <c r="A46" s="64" t="str">
        <f>à_lire!H34</f>
        <v>Elève32</v>
      </c>
      <c r="B46" s="65"/>
      <c r="C46" s="65"/>
      <c r="D46" s="65"/>
      <c r="E46" s="65"/>
      <c r="F46" s="65"/>
      <c r="G46" s="65"/>
      <c r="H46" s="65"/>
      <c r="I46" s="65"/>
      <c r="J46" s="65"/>
      <c r="K46" s="65"/>
      <c r="L46" s="65"/>
      <c r="M46" s="65"/>
      <c r="N46" s="65"/>
      <c r="O46" s="65"/>
      <c r="P46" s="65"/>
      <c r="Q46" s="65"/>
      <c r="R46" s="65"/>
      <c r="S46" s="65"/>
      <c r="T46" s="65"/>
      <c r="U46" s="65"/>
      <c r="V46" s="65"/>
      <c r="W46" s="65"/>
      <c r="X46" s="66" t="str">
        <f t="shared" si="4"/>
        <v>n</v>
      </c>
      <c r="Y46" s="66" t="str">
        <f t="shared" si="5"/>
        <v>n</v>
      </c>
      <c r="Z46" s="66" t="str">
        <f t="shared" si="6"/>
        <v>n</v>
      </c>
      <c r="AA46" s="66" t="str">
        <f t="shared" si="7"/>
        <v>n</v>
      </c>
      <c r="AB46" s="66" t="str">
        <f t="shared" si="8"/>
        <v>n</v>
      </c>
      <c r="AC46" s="67" t="str">
        <f t="shared" si="0"/>
        <v>n</v>
      </c>
      <c r="AD46" s="68" t="str">
        <f t="shared" si="1"/>
        <v>n</v>
      </c>
      <c r="AE46" s="68" t="str">
        <f t="shared" si="2"/>
        <v>n</v>
      </c>
      <c r="AF46" s="167"/>
    </row>
    <row r="47" spans="1:112" s="73" customFormat="1" ht="12">
      <c r="A47" s="70" t="s">
        <v>31</v>
      </c>
      <c r="B47" s="71">
        <f>COUNTIF(B$15:B$46,"A")</f>
        <v>3</v>
      </c>
      <c r="C47" s="71">
        <f aca="true" t="shared" si="9" ref="C47:W47">COUNTIF(C$15:C$46,"A")</f>
        <v>1</v>
      </c>
      <c r="D47" s="71">
        <f t="shared" si="9"/>
        <v>2</v>
      </c>
      <c r="E47" s="71">
        <f t="shared" si="9"/>
        <v>1</v>
      </c>
      <c r="F47" s="71">
        <f t="shared" si="9"/>
        <v>2</v>
      </c>
      <c r="G47" s="71">
        <f t="shared" si="9"/>
        <v>1</v>
      </c>
      <c r="H47" s="71">
        <f t="shared" si="9"/>
        <v>2</v>
      </c>
      <c r="I47" s="71">
        <f t="shared" si="9"/>
        <v>1</v>
      </c>
      <c r="J47" s="71">
        <f t="shared" si="9"/>
        <v>1</v>
      </c>
      <c r="K47" s="71">
        <f t="shared" si="9"/>
        <v>2</v>
      </c>
      <c r="L47" s="71">
        <f t="shared" si="9"/>
        <v>1</v>
      </c>
      <c r="M47" s="71">
        <f t="shared" si="9"/>
        <v>1</v>
      </c>
      <c r="N47" s="71">
        <f t="shared" si="9"/>
        <v>1</v>
      </c>
      <c r="O47" s="71">
        <f t="shared" si="9"/>
        <v>2</v>
      </c>
      <c r="P47" s="71">
        <f t="shared" si="9"/>
        <v>1</v>
      </c>
      <c r="Q47" s="71">
        <f t="shared" si="9"/>
        <v>1</v>
      </c>
      <c r="R47" s="71">
        <f t="shared" si="9"/>
        <v>1</v>
      </c>
      <c r="S47" s="71">
        <f t="shared" si="9"/>
        <v>1</v>
      </c>
      <c r="T47" s="71">
        <f t="shared" si="9"/>
        <v>1</v>
      </c>
      <c r="U47" s="71">
        <f t="shared" si="9"/>
        <v>1</v>
      </c>
      <c r="V47" s="71">
        <f t="shared" si="9"/>
        <v>2</v>
      </c>
      <c r="W47" s="71">
        <f t="shared" si="9"/>
        <v>1</v>
      </c>
      <c r="X47" s="76"/>
      <c r="Y47" s="76"/>
      <c r="Z47" s="76"/>
      <c r="AA47" s="76"/>
      <c r="AB47" s="76"/>
      <c r="AC47" s="72"/>
      <c r="AD47" s="72"/>
      <c r="AE47" s="72"/>
      <c r="CV47" s="34"/>
      <c r="CW47" s="34"/>
      <c r="CX47" s="34"/>
      <c r="CY47" s="34"/>
      <c r="CZ47" s="34"/>
      <c r="DA47" s="34"/>
      <c r="DB47" s="34"/>
      <c r="DC47" s="34"/>
      <c r="DD47" s="34"/>
      <c r="DE47" s="34"/>
      <c r="DF47" s="34"/>
      <c r="DG47" s="34"/>
      <c r="DH47" s="34"/>
    </row>
    <row r="48" spans="1:112" s="73" customFormat="1" ht="12">
      <c r="A48" s="74" t="s">
        <v>32</v>
      </c>
      <c r="B48" s="75">
        <f>(COUNTA(B$15:B$46)-B$47)</f>
        <v>24</v>
      </c>
      <c r="C48" s="75">
        <f aca="true" t="shared" si="10" ref="C48:W48">(COUNTA(C$15:C$46)-C$47)</f>
        <v>26</v>
      </c>
      <c r="D48" s="75">
        <f t="shared" si="10"/>
        <v>25</v>
      </c>
      <c r="E48" s="75">
        <f t="shared" si="10"/>
        <v>26</v>
      </c>
      <c r="F48" s="75">
        <f t="shared" si="10"/>
        <v>25</v>
      </c>
      <c r="G48" s="75">
        <f t="shared" si="10"/>
        <v>26</v>
      </c>
      <c r="H48" s="75">
        <f t="shared" si="10"/>
        <v>25</v>
      </c>
      <c r="I48" s="75">
        <f t="shared" si="10"/>
        <v>26</v>
      </c>
      <c r="J48" s="75">
        <f t="shared" si="10"/>
        <v>26</v>
      </c>
      <c r="K48" s="75">
        <f t="shared" si="10"/>
        <v>25</v>
      </c>
      <c r="L48" s="75">
        <f t="shared" si="10"/>
        <v>26</v>
      </c>
      <c r="M48" s="75">
        <f t="shared" si="10"/>
        <v>26</v>
      </c>
      <c r="N48" s="75">
        <f t="shared" si="10"/>
        <v>26</v>
      </c>
      <c r="O48" s="75">
        <f t="shared" si="10"/>
        <v>25</v>
      </c>
      <c r="P48" s="75">
        <f t="shared" si="10"/>
        <v>26</v>
      </c>
      <c r="Q48" s="75">
        <f t="shared" si="10"/>
        <v>26</v>
      </c>
      <c r="R48" s="75">
        <f t="shared" si="10"/>
        <v>26</v>
      </c>
      <c r="S48" s="75">
        <f t="shared" si="10"/>
        <v>26</v>
      </c>
      <c r="T48" s="75">
        <f t="shared" si="10"/>
        <v>26</v>
      </c>
      <c r="U48" s="75">
        <f t="shared" si="10"/>
        <v>26</v>
      </c>
      <c r="V48" s="75">
        <f t="shared" si="10"/>
        <v>25</v>
      </c>
      <c r="W48" s="75">
        <f t="shared" si="10"/>
        <v>26</v>
      </c>
      <c r="X48" s="173">
        <f>(COUNTIF(B15:G46,1)+COUNTIF(B15:G46,2))/SUM(B48:G48)</f>
        <v>0.8421052631578947</v>
      </c>
      <c r="Y48" s="174">
        <f>(COUNTIF(H15:L46,1)+COUNTIF(H15:L46,2))/SUM(H48:L48)</f>
        <v>0.8125</v>
      </c>
      <c r="Z48" s="174">
        <f>(COUNTIF(L15:Q46,1)+COUNTIF(L15:Q46,2))/SUM(L48:Q48)</f>
        <v>0.8903225806451613</v>
      </c>
      <c r="AA48" s="174">
        <f>(COUNTIF(R15:S46,1)+COUNTIF(R15:S46,2))/SUM(R48:S48)</f>
        <v>0.8076923076923077</v>
      </c>
      <c r="AB48" s="174">
        <f>(COUNTIF(T15:W46,1)+COUNTIF(T15:W46,2))/SUM(T48:W48)</f>
        <v>0.7087378640776699</v>
      </c>
      <c r="AC48" s="72"/>
      <c r="AD48" s="72"/>
      <c r="AE48" s="72"/>
      <c r="CV48" s="34"/>
      <c r="CW48" s="34"/>
      <c r="CX48" s="34"/>
      <c r="CY48" s="34"/>
      <c r="CZ48" s="34"/>
      <c r="DA48" s="34"/>
      <c r="DB48" s="34"/>
      <c r="DC48" s="34"/>
      <c r="DD48" s="34"/>
      <c r="DE48" s="34"/>
      <c r="DF48" s="34"/>
      <c r="DG48" s="34"/>
      <c r="DH48" s="34"/>
    </row>
    <row r="49" spans="1:112" s="81" customFormat="1" ht="19.5" customHeight="1">
      <c r="A49" s="77"/>
      <c r="B49" s="195" t="s">
        <v>16</v>
      </c>
      <c r="C49" s="196"/>
      <c r="D49" s="196"/>
      <c r="E49" s="196"/>
      <c r="F49" s="196"/>
      <c r="G49" s="197"/>
      <c r="H49" s="198" t="s">
        <v>17</v>
      </c>
      <c r="I49" s="199"/>
      <c r="J49" s="199"/>
      <c r="K49" s="199"/>
      <c r="L49" s="200"/>
      <c r="M49" s="201" t="s">
        <v>18</v>
      </c>
      <c r="N49" s="196"/>
      <c r="O49" s="196"/>
      <c r="P49" s="196"/>
      <c r="Q49" s="197"/>
      <c r="R49" s="198" t="s">
        <v>19</v>
      </c>
      <c r="S49" s="200"/>
      <c r="T49" s="201" t="s">
        <v>20</v>
      </c>
      <c r="U49" s="196"/>
      <c r="V49" s="196"/>
      <c r="W49" s="197"/>
      <c r="X49" s="36"/>
      <c r="Y49" s="82"/>
      <c r="Z49" s="34"/>
      <c r="AA49" s="34"/>
      <c r="AB49" s="36"/>
      <c r="AC49" s="78"/>
      <c r="AD49" s="79"/>
      <c r="AE49" s="80"/>
      <c r="CV49" s="34"/>
      <c r="CW49" s="34"/>
      <c r="CX49" s="34"/>
      <c r="CY49" s="34"/>
      <c r="CZ49" s="34"/>
      <c r="DA49" s="34"/>
      <c r="DB49" s="34"/>
      <c r="DC49" s="34"/>
      <c r="DD49" s="34"/>
      <c r="DE49" s="34"/>
      <c r="DF49" s="34"/>
      <c r="DG49" s="34"/>
      <c r="DH49" s="34"/>
    </row>
    <row r="50" spans="1:31" ht="12.75" customHeight="1">
      <c r="A50" s="77"/>
      <c r="B50" s="60">
        <v>1</v>
      </c>
      <c r="C50" s="60">
        <v>2</v>
      </c>
      <c r="D50" s="60">
        <v>3</v>
      </c>
      <c r="E50" s="60">
        <v>4</v>
      </c>
      <c r="F50" s="60">
        <v>5</v>
      </c>
      <c r="G50" s="60">
        <v>6</v>
      </c>
      <c r="H50" s="61">
        <v>7</v>
      </c>
      <c r="I50" s="61">
        <v>8</v>
      </c>
      <c r="J50" s="61">
        <v>9</v>
      </c>
      <c r="K50" s="61">
        <v>10</v>
      </c>
      <c r="L50" s="61">
        <v>11</v>
      </c>
      <c r="M50" s="62">
        <v>12</v>
      </c>
      <c r="N50" s="62">
        <v>13</v>
      </c>
      <c r="O50" s="60">
        <v>14</v>
      </c>
      <c r="P50" s="60">
        <v>15</v>
      </c>
      <c r="Q50" s="60">
        <v>16</v>
      </c>
      <c r="R50" s="61">
        <v>17</v>
      </c>
      <c r="S50" s="61">
        <v>18</v>
      </c>
      <c r="T50" s="60">
        <v>19</v>
      </c>
      <c r="U50" s="60">
        <v>20</v>
      </c>
      <c r="V50" s="60">
        <v>21</v>
      </c>
      <c r="W50" s="60">
        <v>22</v>
      </c>
      <c r="X50" s="85"/>
      <c r="Y50" s="82"/>
      <c r="AB50" s="85"/>
      <c r="AC50" s="78"/>
      <c r="AD50" s="79"/>
      <c r="AE50" s="80"/>
    </row>
    <row r="51" spans="1:112" s="86" customFormat="1" ht="18" customHeight="1">
      <c r="A51" s="83" t="s">
        <v>33</v>
      </c>
      <c r="B51" s="84">
        <f>(COUNTIF(saisie!B$15:B$46,1))</f>
        <v>17</v>
      </c>
      <c r="C51" s="84">
        <f>(COUNTIF(saisie!C$15:C$46,1))</f>
        <v>18</v>
      </c>
      <c r="D51" s="84">
        <f>(COUNTIF(saisie!D$15:D$46,1))</f>
        <v>17</v>
      </c>
      <c r="E51" s="84">
        <f>(COUNTIF(saisie!E$15:E$46,1))</f>
        <v>13</v>
      </c>
      <c r="F51" s="84">
        <f>(COUNTIF(saisie!F$15:F$46,1))</f>
        <v>19</v>
      </c>
      <c r="G51" s="84">
        <f>(COUNTIF(saisie!G$15:G$46,1))</f>
        <v>14</v>
      </c>
      <c r="H51" s="84">
        <f>(COUNTIF(saisie!H$15:H$46,1))</f>
        <v>15</v>
      </c>
      <c r="I51" s="84">
        <f>(COUNTIF(saisie!I$15:I$46,1))</f>
        <v>8</v>
      </c>
      <c r="J51" s="84">
        <f>(COUNTIF(saisie!J$15:J$46,1))</f>
        <v>14</v>
      </c>
      <c r="K51" s="84">
        <f>(COUNTIF(saisie!K$15:K$46,1))</f>
        <v>20</v>
      </c>
      <c r="L51" s="84">
        <f>(COUNTIF(saisie!L$15:L$46,1))</f>
        <v>11</v>
      </c>
      <c r="M51" s="84">
        <f>(COUNTIF(saisie!M$15:M$46,1))</f>
        <v>24</v>
      </c>
      <c r="N51" s="84">
        <f>(COUNTIF(saisie!N$15:N$46,1))</f>
        <v>18</v>
      </c>
      <c r="O51" s="84">
        <f>(COUNTIF(saisie!O$15:O$46,1))</f>
        <v>11</v>
      </c>
      <c r="P51" s="84">
        <f>(COUNTIF(saisie!P$15:P$46,1))</f>
        <v>25</v>
      </c>
      <c r="Q51" s="84">
        <f>(COUNTIF(saisie!Q$15:Q$46,1))</f>
        <v>21</v>
      </c>
      <c r="R51" s="84">
        <f>(COUNTIF(saisie!R$15:R$46,1))</f>
        <v>19</v>
      </c>
      <c r="S51" s="84">
        <f>(COUNTIF(saisie!S$15:S$46,1))</f>
        <v>6</v>
      </c>
      <c r="T51" s="84">
        <f>(COUNTIF(saisie!T$15:T$46,1))</f>
        <v>19</v>
      </c>
      <c r="U51" s="84">
        <f>(COUNTIF(saisie!U$15:U$46,1))</f>
        <v>9</v>
      </c>
      <c r="V51" s="84">
        <f>(COUNTIF(saisie!V$15:V$46,1))</f>
        <v>8</v>
      </c>
      <c r="W51" s="84">
        <f>(COUNTIF(saisie!W$15:W$46,1))</f>
        <v>13</v>
      </c>
      <c r="X51" s="76"/>
      <c r="Y51" s="82"/>
      <c r="Z51" s="34"/>
      <c r="AA51" s="34"/>
      <c r="AB51" s="76"/>
      <c r="AC51" s="78"/>
      <c r="AD51" s="79"/>
      <c r="AE51" s="80"/>
      <c r="CV51" s="34"/>
      <c r="CW51" s="34"/>
      <c r="CX51" s="34"/>
      <c r="CY51" s="34"/>
      <c r="CZ51" s="34"/>
      <c r="DA51" s="34"/>
      <c r="DB51" s="34"/>
      <c r="DC51" s="34"/>
      <c r="DD51" s="34"/>
      <c r="DE51" s="34"/>
      <c r="DF51" s="34"/>
      <c r="DG51" s="34"/>
      <c r="DH51" s="34"/>
    </row>
    <row r="52" spans="1:112" s="73" customFormat="1" ht="18" customHeight="1">
      <c r="A52" s="87" t="s">
        <v>34</v>
      </c>
      <c r="B52" s="88">
        <f aca="true" t="shared" si="11" ref="B52:W52">COUNTIF(B$15:B$46,1)/B$48</f>
        <v>0.7083333333333334</v>
      </c>
      <c r="C52" s="88">
        <f t="shared" si="11"/>
        <v>0.6923076923076923</v>
      </c>
      <c r="D52" s="88">
        <f t="shared" si="11"/>
        <v>0.68</v>
      </c>
      <c r="E52" s="88">
        <f t="shared" si="11"/>
        <v>0.5</v>
      </c>
      <c r="F52" s="88">
        <f t="shared" si="11"/>
        <v>0.76</v>
      </c>
      <c r="G52" s="88">
        <f t="shared" si="11"/>
        <v>0.5384615384615384</v>
      </c>
      <c r="H52" s="88">
        <f t="shared" si="11"/>
        <v>0.6</v>
      </c>
      <c r="I52" s="88">
        <f t="shared" si="11"/>
        <v>0.3076923076923077</v>
      </c>
      <c r="J52" s="88">
        <f t="shared" si="11"/>
        <v>0.5384615384615384</v>
      </c>
      <c r="K52" s="88">
        <f t="shared" si="11"/>
        <v>0.8</v>
      </c>
      <c r="L52" s="88">
        <f t="shared" si="11"/>
        <v>0.4230769230769231</v>
      </c>
      <c r="M52" s="88">
        <f t="shared" si="11"/>
        <v>0.9230769230769231</v>
      </c>
      <c r="N52" s="88">
        <f t="shared" si="11"/>
        <v>0.6923076923076923</v>
      </c>
      <c r="O52" s="88">
        <f t="shared" si="11"/>
        <v>0.44</v>
      </c>
      <c r="P52" s="88">
        <f t="shared" si="11"/>
        <v>0.9615384615384616</v>
      </c>
      <c r="Q52" s="88">
        <f t="shared" si="11"/>
        <v>0.8076923076923077</v>
      </c>
      <c r="R52" s="88">
        <f t="shared" si="11"/>
        <v>0.7307692307692307</v>
      </c>
      <c r="S52" s="88">
        <f t="shared" si="11"/>
        <v>0.23076923076923078</v>
      </c>
      <c r="T52" s="88">
        <f t="shared" si="11"/>
        <v>0.7307692307692307</v>
      </c>
      <c r="U52" s="88">
        <f t="shared" si="11"/>
        <v>0.34615384615384615</v>
      </c>
      <c r="V52" s="88">
        <f t="shared" si="11"/>
        <v>0.32</v>
      </c>
      <c r="W52" s="88">
        <f t="shared" si="11"/>
        <v>0.5</v>
      </c>
      <c r="X52" s="36"/>
      <c r="Y52" s="90"/>
      <c r="Z52" s="34"/>
      <c r="AA52" s="34"/>
      <c r="AB52" s="36"/>
      <c r="AD52" s="89"/>
      <c r="AE52" s="89"/>
      <c r="CV52" s="34"/>
      <c r="CW52" s="34"/>
      <c r="CX52" s="34"/>
      <c r="CY52" s="34"/>
      <c r="CZ52" s="34"/>
      <c r="DA52" s="34"/>
      <c r="DB52" s="34"/>
      <c r="DC52" s="34"/>
      <c r="DD52" s="34"/>
      <c r="DE52" s="34"/>
      <c r="DF52" s="34"/>
      <c r="DG52" s="34"/>
      <c r="DH52" s="34"/>
    </row>
    <row r="53" spans="1:112" s="73" customFormat="1" ht="18" customHeight="1">
      <c r="A53" s="87" t="s">
        <v>35</v>
      </c>
      <c r="B53" s="88">
        <f aca="true" t="shared" si="12" ref="B53:W53">COUNTIF(B$15:B$46,2)/B$48</f>
        <v>0.25</v>
      </c>
      <c r="C53" s="88">
        <f t="shared" si="12"/>
        <v>0.2692307692307692</v>
      </c>
      <c r="D53" s="88">
        <f t="shared" si="12"/>
        <v>0.12</v>
      </c>
      <c r="E53" s="88">
        <f t="shared" si="12"/>
        <v>0.2692307692307692</v>
      </c>
      <c r="F53" s="88">
        <f t="shared" si="12"/>
        <v>0.04</v>
      </c>
      <c r="G53" s="88">
        <f t="shared" si="12"/>
        <v>0.23076923076923078</v>
      </c>
      <c r="H53" s="88">
        <f t="shared" si="12"/>
        <v>0.16</v>
      </c>
      <c r="I53" s="88">
        <f t="shared" si="12"/>
        <v>0.2692307692307692</v>
      </c>
      <c r="J53" s="88">
        <f t="shared" si="12"/>
        <v>0.38461538461538464</v>
      </c>
      <c r="K53" s="88">
        <f t="shared" si="12"/>
        <v>0.12</v>
      </c>
      <c r="L53" s="88">
        <f t="shared" si="12"/>
        <v>0.46153846153846156</v>
      </c>
      <c r="M53" s="88">
        <f t="shared" si="12"/>
        <v>0</v>
      </c>
      <c r="N53" s="88">
        <f t="shared" si="12"/>
        <v>0.23076923076923078</v>
      </c>
      <c r="O53" s="88">
        <f t="shared" si="12"/>
        <v>0.16</v>
      </c>
      <c r="P53" s="88">
        <f t="shared" si="12"/>
        <v>0.038461538461538464</v>
      </c>
      <c r="Q53" s="88">
        <f t="shared" si="12"/>
        <v>0.19230769230769232</v>
      </c>
      <c r="R53" s="88">
        <f t="shared" si="12"/>
        <v>0.19230769230769232</v>
      </c>
      <c r="S53" s="88">
        <f t="shared" si="12"/>
        <v>0.46153846153846156</v>
      </c>
      <c r="T53" s="88">
        <f t="shared" si="12"/>
        <v>0.11538461538461539</v>
      </c>
      <c r="U53" s="88">
        <f t="shared" si="12"/>
        <v>0.4230769230769231</v>
      </c>
      <c r="V53" s="88">
        <f t="shared" si="12"/>
        <v>0.24</v>
      </c>
      <c r="W53" s="88">
        <f t="shared" si="12"/>
        <v>0.15384615384615385</v>
      </c>
      <c r="X53" s="36"/>
      <c r="Y53" s="36"/>
      <c r="Z53" s="36"/>
      <c r="AA53" s="36"/>
      <c r="AB53" s="36"/>
      <c r="AD53" s="89"/>
      <c r="AE53" s="89"/>
      <c r="CV53" s="34"/>
      <c r="CW53" s="34"/>
      <c r="CX53" s="34"/>
      <c r="CY53" s="34"/>
      <c r="CZ53" s="34"/>
      <c r="DA53" s="34"/>
      <c r="DB53" s="34"/>
      <c r="DC53" s="34"/>
      <c r="DD53" s="34"/>
      <c r="DE53" s="34"/>
      <c r="DF53" s="34"/>
      <c r="DG53" s="34"/>
      <c r="DH53" s="34"/>
    </row>
    <row r="54" spans="1:112" s="73" customFormat="1" ht="18" customHeight="1">
      <c r="A54" s="87" t="s">
        <v>36</v>
      </c>
      <c r="B54" s="88">
        <f aca="true" t="shared" si="13" ref="B54:W54">COUNTIF(B$15:B$46,9)/B$48</f>
        <v>0.041666666666666664</v>
      </c>
      <c r="C54" s="88">
        <f t="shared" si="13"/>
        <v>0.038461538461538464</v>
      </c>
      <c r="D54" s="88">
        <f t="shared" si="13"/>
        <v>0.2</v>
      </c>
      <c r="E54" s="88">
        <f t="shared" si="13"/>
        <v>0.23076923076923078</v>
      </c>
      <c r="F54" s="88">
        <f t="shared" si="13"/>
        <v>0.2</v>
      </c>
      <c r="G54" s="88">
        <f t="shared" si="13"/>
        <v>0.23076923076923078</v>
      </c>
      <c r="H54" s="88">
        <f t="shared" si="13"/>
        <v>0.24</v>
      </c>
      <c r="I54" s="88">
        <f t="shared" si="13"/>
        <v>0.4230769230769231</v>
      </c>
      <c r="J54" s="88">
        <f t="shared" si="13"/>
        <v>0.07692307692307693</v>
      </c>
      <c r="K54" s="88">
        <f t="shared" si="13"/>
        <v>0.08</v>
      </c>
      <c r="L54" s="88">
        <f t="shared" si="13"/>
        <v>0.11538461538461539</v>
      </c>
      <c r="M54" s="88">
        <f t="shared" si="13"/>
        <v>0.07692307692307693</v>
      </c>
      <c r="N54" s="88">
        <f t="shared" si="13"/>
        <v>0.07692307692307693</v>
      </c>
      <c r="O54" s="88">
        <f t="shared" si="13"/>
        <v>0.04</v>
      </c>
      <c r="P54" s="88">
        <f t="shared" si="13"/>
        <v>0</v>
      </c>
      <c r="Q54" s="88">
        <f t="shared" si="13"/>
        <v>0</v>
      </c>
      <c r="R54" s="88">
        <f t="shared" si="13"/>
        <v>0.07692307692307693</v>
      </c>
      <c r="S54" s="88">
        <f t="shared" si="13"/>
        <v>0.3076923076923077</v>
      </c>
      <c r="T54" s="88">
        <f t="shared" si="13"/>
        <v>0.15384615384615385</v>
      </c>
      <c r="U54" s="88">
        <f t="shared" si="13"/>
        <v>0.23076923076923078</v>
      </c>
      <c r="V54" s="88">
        <f t="shared" si="13"/>
        <v>0.2</v>
      </c>
      <c r="W54" s="88">
        <f t="shared" si="13"/>
        <v>0.3076923076923077</v>
      </c>
      <c r="X54" s="36"/>
      <c r="Y54" s="36"/>
      <c r="Z54" s="36"/>
      <c r="AA54" s="36"/>
      <c r="AB54" s="36"/>
      <c r="AD54" s="89"/>
      <c r="AE54" s="89"/>
      <c r="CV54" s="34"/>
      <c r="CW54" s="34"/>
      <c r="CX54" s="34"/>
      <c r="CY54" s="34"/>
      <c r="CZ54" s="34"/>
      <c r="DA54" s="34"/>
      <c r="DB54" s="34"/>
      <c r="DC54" s="34"/>
      <c r="DD54" s="34"/>
      <c r="DE54" s="34"/>
      <c r="DF54" s="34"/>
      <c r="DG54" s="34"/>
      <c r="DH54" s="34"/>
    </row>
    <row r="55" spans="1:112" s="73" customFormat="1" ht="18" customHeight="1">
      <c r="A55" s="87" t="s">
        <v>37</v>
      </c>
      <c r="B55" s="88">
        <f aca="true" t="shared" si="14" ref="B55:W55">COUNTIF(B$15:B$46,0)/B$48</f>
        <v>0</v>
      </c>
      <c r="C55" s="88">
        <f t="shared" si="14"/>
        <v>0</v>
      </c>
      <c r="D55" s="88">
        <f t="shared" si="14"/>
        <v>0</v>
      </c>
      <c r="E55" s="88">
        <f t="shared" si="14"/>
        <v>0</v>
      </c>
      <c r="F55" s="88">
        <f t="shared" si="14"/>
        <v>0</v>
      </c>
      <c r="G55" s="88">
        <f t="shared" si="14"/>
        <v>0</v>
      </c>
      <c r="H55" s="88">
        <f t="shared" si="14"/>
        <v>0</v>
      </c>
      <c r="I55" s="88">
        <f t="shared" si="14"/>
        <v>0</v>
      </c>
      <c r="J55" s="88">
        <f t="shared" si="14"/>
        <v>0</v>
      </c>
      <c r="K55" s="88">
        <f t="shared" si="14"/>
        <v>0</v>
      </c>
      <c r="L55" s="88">
        <f t="shared" si="14"/>
        <v>0</v>
      </c>
      <c r="M55" s="88">
        <f t="shared" si="14"/>
        <v>0</v>
      </c>
      <c r="N55" s="88">
        <f t="shared" si="14"/>
        <v>0</v>
      </c>
      <c r="O55" s="88">
        <f t="shared" si="14"/>
        <v>0.36</v>
      </c>
      <c r="P55" s="88">
        <f t="shared" si="14"/>
        <v>0</v>
      </c>
      <c r="Q55" s="88">
        <f t="shared" si="14"/>
        <v>0</v>
      </c>
      <c r="R55" s="88">
        <f t="shared" si="14"/>
        <v>0</v>
      </c>
      <c r="S55" s="88">
        <f t="shared" si="14"/>
        <v>0</v>
      </c>
      <c r="T55" s="88">
        <f t="shared" si="14"/>
        <v>0</v>
      </c>
      <c r="U55" s="88">
        <f t="shared" si="14"/>
        <v>0</v>
      </c>
      <c r="V55" s="88">
        <f t="shared" si="14"/>
        <v>0.24</v>
      </c>
      <c r="W55" s="88">
        <f t="shared" si="14"/>
        <v>0.038461538461538464</v>
      </c>
      <c r="X55" s="36"/>
      <c r="Y55" s="36"/>
      <c r="Z55" s="36"/>
      <c r="AA55" s="36"/>
      <c r="AB55" s="36"/>
      <c r="AD55" s="89"/>
      <c r="AE55" s="89"/>
      <c r="CV55" s="34"/>
      <c r="CW55" s="34"/>
      <c r="CX55" s="34"/>
      <c r="CY55" s="34"/>
      <c r="CZ55" s="34"/>
      <c r="DA55" s="34"/>
      <c r="DB55" s="34"/>
      <c r="DC55" s="34"/>
      <c r="DD55" s="34"/>
      <c r="DE55" s="34"/>
      <c r="DF55" s="34"/>
      <c r="DG55" s="34"/>
      <c r="DH55" s="34"/>
    </row>
    <row r="56" spans="1:112" s="73" customFormat="1" ht="9.75" customHeight="1">
      <c r="A56" s="91"/>
      <c r="B56" s="92"/>
      <c r="C56" s="92"/>
      <c r="D56" s="92"/>
      <c r="E56" s="92"/>
      <c r="F56" s="92"/>
      <c r="G56" s="92"/>
      <c r="H56" s="92"/>
      <c r="I56" s="92"/>
      <c r="J56" s="92"/>
      <c r="K56" s="92"/>
      <c r="L56" s="92"/>
      <c r="M56" s="92"/>
      <c r="N56" s="92"/>
      <c r="O56" s="92"/>
      <c r="P56" s="92"/>
      <c r="Q56" s="92"/>
      <c r="R56" s="92"/>
      <c r="S56" s="92"/>
      <c r="T56" s="92"/>
      <c r="U56" s="92"/>
      <c r="V56" s="92"/>
      <c r="W56" s="92"/>
      <c r="AD56" s="89"/>
      <c r="AE56" s="89"/>
      <c r="CV56" s="34"/>
      <c r="CW56" s="34"/>
      <c r="CX56" s="34"/>
      <c r="CY56" s="34"/>
      <c r="CZ56" s="34"/>
      <c r="DA56" s="34"/>
      <c r="DB56" s="34"/>
      <c r="DC56" s="34"/>
      <c r="DD56" s="34"/>
      <c r="DE56" s="34"/>
      <c r="DF56" s="34"/>
      <c r="DG56" s="34"/>
      <c r="DH56" s="34"/>
    </row>
    <row r="57" spans="1:112" s="73" customFormat="1" ht="12">
      <c r="A57" s="93" t="s">
        <v>38</v>
      </c>
      <c r="B57" s="88">
        <f aca="true" t="shared" si="15" ref="B57:W57">(COUNTIF(B$15:B$46,1)+COUNTIF(B$15:B$46,2))/B$48</f>
        <v>0.9583333333333334</v>
      </c>
      <c r="C57" s="88">
        <f t="shared" si="15"/>
        <v>0.9615384615384616</v>
      </c>
      <c r="D57" s="88">
        <f t="shared" si="15"/>
        <v>0.8</v>
      </c>
      <c r="E57" s="88">
        <f t="shared" si="15"/>
        <v>0.7692307692307693</v>
      </c>
      <c r="F57" s="88">
        <f t="shared" si="15"/>
        <v>0.8</v>
      </c>
      <c r="G57" s="88">
        <f t="shared" si="15"/>
        <v>0.7692307692307693</v>
      </c>
      <c r="H57" s="88">
        <f t="shared" si="15"/>
        <v>0.76</v>
      </c>
      <c r="I57" s="88">
        <f t="shared" si="15"/>
        <v>0.5769230769230769</v>
      </c>
      <c r="J57" s="88">
        <f t="shared" si="15"/>
        <v>0.9230769230769231</v>
      </c>
      <c r="K57" s="88">
        <f t="shared" si="15"/>
        <v>0.92</v>
      </c>
      <c r="L57" s="88">
        <f t="shared" si="15"/>
        <v>0.8846153846153846</v>
      </c>
      <c r="M57" s="88">
        <f t="shared" si="15"/>
        <v>0.9230769230769231</v>
      </c>
      <c r="N57" s="88">
        <f t="shared" si="15"/>
        <v>0.9230769230769231</v>
      </c>
      <c r="O57" s="88">
        <f t="shared" si="15"/>
        <v>0.6</v>
      </c>
      <c r="P57" s="88">
        <f t="shared" si="15"/>
        <v>1</v>
      </c>
      <c r="Q57" s="88">
        <f t="shared" si="15"/>
        <v>1</v>
      </c>
      <c r="R57" s="88">
        <f t="shared" si="15"/>
        <v>0.9230769230769231</v>
      </c>
      <c r="S57" s="88">
        <f t="shared" si="15"/>
        <v>0.6923076923076923</v>
      </c>
      <c r="T57" s="88">
        <f t="shared" si="15"/>
        <v>0.8461538461538461</v>
      </c>
      <c r="U57" s="88">
        <f t="shared" si="15"/>
        <v>0.7692307692307693</v>
      </c>
      <c r="V57" s="88">
        <f t="shared" si="15"/>
        <v>0.56</v>
      </c>
      <c r="W57" s="88">
        <f t="shared" si="15"/>
        <v>0.6538461538461539</v>
      </c>
      <c r="AD57" s="89"/>
      <c r="AE57" s="89"/>
      <c r="CV57" s="34"/>
      <c r="CW57" s="34"/>
      <c r="CX57" s="34"/>
      <c r="CY57" s="34"/>
      <c r="CZ57" s="34"/>
      <c r="DA57" s="34"/>
      <c r="DB57" s="34"/>
      <c r="DC57" s="34"/>
      <c r="DD57" s="34"/>
      <c r="DE57" s="34"/>
      <c r="DF57" s="34"/>
      <c r="DG57" s="34"/>
      <c r="DH57" s="34"/>
    </row>
    <row r="58" spans="1:112" s="73" customFormat="1" ht="12">
      <c r="A58" s="93" t="s">
        <v>39</v>
      </c>
      <c r="B58" s="88">
        <f aca="true" t="shared" si="16" ref="B58:W58">(COUNTIF(B$15:B$46,9)+COUNTIF(B$15:B$46,0))/B$48</f>
        <v>0.041666666666666664</v>
      </c>
      <c r="C58" s="88">
        <f t="shared" si="16"/>
        <v>0.038461538461538464</v>
      </c>
      <c r="D58" s="88">
        <f t="shared" si="16"/>
        <v>0.2</v>
      </c>
      <c r="E58" s="88">
        <f t="shared" si="16"/>
        <v>0.23076923076923078</v>
      </c>
      <c r="F58" s="88">
        <f t="shared" si="16"/>
        <v>0.2</v>
      </c>
      <c r="G58" s="88">
        <f t="shared" si="16"/>
        <v>0.23076923076923078</v>
      </c>
      <c r="H58" s="88">
        <f t="shared" si="16"/>
        <v>0.24</v>
      </c>
      <c r="I58" s="88">
        <f t="shared" si="16"/>
        <v>0.4230769230769231</v>
      </c>
      <c r="J58" s="88">
        <f t="shared" si="16"/>
        <v>0.07692307692307693</v>
      </c>
      <c r="K58" s="88">
        <f t="shared" si="16"/>
        <v>0.08</v>
      </c>
      <c r="L58" s="88">
        <f t="shared" si="16"/>
        <v>0.11538461538461539</v>
      </c>
      <c r="M58" s="88">
        <f t="shared" si="16"/>
        <v>0.07692307692307693</v>
      </c>
      <c r="N58" s="88">
        <f t="shared" si="16"/>
        <v>0.07692307692307693</v>
      </c>
      <c r="O58" s="88">
        <f t="shared" si="16"/>
        <v>0.4</v>
      </c>
      <c r="P58" s="88">
        <f t="shared" si="16"/>
        <v>0</v>
      </c>
      <c r="Q58" s="88">
        <f t="shared" si="16"/>
        <v>0</v>
      </c>
      <c r="R58" s="88">
        <f t="shared" si="16"/>
        <v>0.07692307692307693</v>
      </c>
      <c r="S58" s="88">
        <f t="shared" si="16"/>
        <v>0.3076923076923077</v>
      </c>
      <c r="T58" s="88">
        <f t="shared" si="16"/>
        <v>0.15384615384615385</v>
      </c>
      <c r="U58" s="88">
        <f t="shared" si="16"/>
        <v>0.23076923076923078</v>
      </c>
      <c r="V58" s="88">
        <f t="shared" si="16"/>
        <v>0.44</v>
      </c>
      <c r="W58" s="88">
        <f t="shared" si="16"/>
        <v>0.34615384615384615</v>
      </c>
      <c r="AD58" s="89"/>
      <c r="AE58" s="89"/>
      <c r="CV58" s="34"/>
      <c r="CW58" s="34"/>
      <c r="CX58" s="34"/>
      <c r="CY58" s="34"/>
      <c r="CZ58" s="34"/>
      <c r="DA58" s="34"/>
      <c r="DB58" s="34"/>
      <c r="DC58" s="34"/>
      <c r="DD58" s="34"/>
      <c r="DE58" s="34"/>
      <c r="DF58" s="34"/>
      <c r="DG58" s="34"/>
      <c r="DH58" s="34"/>
    </row>
    <row r="59" spans="30:112" s="73" customFormat="1" ht="12">
      <c r="AD59" s="89"/>
      <c r="AE59" s="89"/>
      <c r="CV59" s="34"/>
      <c r="CW59" s="34"/>
      <c r="CX59" s="34"/>
      <c r="CY59" s="34"/>
      <c r="CZ59" s="34"/>
      <c r="DA59" s="34"/>
      <c r="DB59" s="34"/>
      <c r="DC59" s="34"/>
      <c r="DD59" s="34"/>
      <c r="DE59" s="34"/>
      <c r="DF59" s="34"/>
      <c r="DG59" s="34"/>
      <c r="DH59" s="34"/>
    </row>
    <row r="60" spans="30:112" s="73" customFormat="1" ht="12">
      <c r="AD60" s="89"/>
      <c r="AE60" s="89"/>
      <c r="CV60" s="34"/>
      <c r="CW60" s="34"/>
      <c r="CX60" s="34"/>
      <c r="CY60" s="34"/>
      <c r="CZ60" s="34"/>
      <c r="DA60" s="34"/>
      <c r="DB60" s="34"/>
      <c r="DC60" s="34"/>
      <c r="DD60" s="34"/>
      <c r="DE60" s="34"/>
      <c r="DF60" s="34"/>
      <c r="DG60" s="34"/>
      <c r="DH60" s="34"/>
    </row>
    <row r="61" spans="30:112" s="73" customFormat="1" ht="12">
      <c r="AD61" s="89"/>
      <c r="AE61" s="89"/>
      <c r="CV61" s="34"/>
      <c r="CW61" s="34"/>
      <c r="CX61" s="34"/>
      <c r="CY61" s="34"/>
      <c r="CZ61" s="34"/>
      <c r="DA61" s="34"/>
      <c r="DB61" s="34"/>
      <c r="DC61" s="34"/>
      <c r="DD61" s="34"/>
      <c r="DE61" s="34"/>
      <c r="DF61" s="34"/>
      <c r="DG61" s="34"/>
      <c r="DH61" s="34"/>
    </row>
    <row r="62" spans="30:112" s="73" customFormat="1" ht="12">
      <c r="AD62" s="89"/>
      <c r="AE62" s="89"/>
      <c r="CV62" s="34"/>
      <c r="CW62" s="34"/>
      <c r="CX62" s="34"/>
      <c r="CY62" s="34"/>
      <c r="CZ62" s="34"/>
      <c r="DA62" s="34"/>
      <c r="DB62" s="34"/>
      <c r="DC62" s="34"/>
      <c r="DD62" s="34"/>
      <c r="DE62" s="34"/>
      <c r="DF62" s="34"/>
      <c r="DG62" s="34"/>
      <c r="DH62" s="34"/>
    </row>
    <row r="63" spans="30:112" s="73" customFormat="1" ht="12">
      <c r="AD63" s="89"/>
      <c r="AE63" s="89"/>
      <c r="CV63" s="34"/>
      <c r="CW63" s="34"/>
      <c r="CX63" s="34"/>
      <c r="CY63" s="34"/>
      <c r="CZ63" s="34"/>
      <c r="DA63" s="34"/>
      <c r="DB63" s="34"/>
      <c r="DC63" s="34"/>
      <c r="DD63" s="34"/>
      <c r="DE63" s="34"/>
      <c r="DF63" s="34"/>
      <c r="DG63" s="34"/>
      <c r="DH63" s="34"/>
    </row>
    <row r="64" spans="30:112" s="73" customFormat="1" ht="12">
      <c r="AD64" s="89"/>
      <c r="AE64" s="89"/>
      <c r="CV64" s="34"/>
      <c r="CW64" s="34"/>
      <c r="CX64" s="34"/>
      <c r="CY64" s="34"/>
      <c r="CZ64" s="34"/>
      <c r="DA64" s="34"/>
      <c r="DB64" s="34"/>
      <c r="DC64" s="34"/>
      <c r="DD64" s="34"/>
      <c r="DE64" s="34"/>
      <c r="DF64" s="34"/>
      <c r="DG64" s="34"/>
      <c r="DH64" s="34"/>
    </row>
    <row r="65" spans="30:112" s="73" customFormat="1" ht="12">
      <c r="AD65" s="89"/>
      <c r="AE65" s="89"/>
      <c r="CV65" s="34"/>
      <c r="CW65" s="34"/>
      <c r="CX65" s="34"/>
      <c r="CY65" s="34"/>
      <c r="CZ65" s="34"/>
      <c r="DA65" s="34"/>
      <c r="DB65" s="34"/>
      <c r="DC65" s="34"/>
      <c r="DD65" s="34"/>
      <c r="DE65" s="34"/>
      <c r="DF65" s="34"/>
      <c r="DG65" s="34"/>
      <c r="DH65" s="34"/>
    </row>
    <row r="66" spans="30:112" s="73" customFormat="1" ht="12">
      <c r="AD66" s="89"/>
      <c r="AE66" s="89"/>
      <c r="CV66" s="34"/>
      <c r="CW66" s="34"/>
      <c r="CX66" s="34"/>
      <c r="CY66" s="34"/>
      <c r="CZ66" s="34"/>
      <c r="DA66" s="34"/>
      <c r="DB66" s="34"/>
      <c r="DC66" s="34"/>
      <c r="DD66" s="34"/>
      <c r="DE66" s="34"/>
      <c r="DF66" s="34"/>
      <c r="DG66" s="34"/>
      <c r="DH66" s="34"/>
    </row>
    <row r="67" spans="30:112" s="73" customFormat="1" ht="12">
      <c r="AD67" s="89"/>
      <c r="AE67" s="89"/>
      <c r="CV67" s="34"/>
      <c r="CW67" s="34"/>
      <c r="CX67" s="34"/>
      <c r="CY67" s="34"/>
      <c r="CZ67" s="34"/>
      <c r="DA67" s="34"/>
      <c r="DB67" s="34"/>
      <c r="DC67" s="34"/>
      <c r="DD67" s="34"/>
      <c r="DE67" s="34"/>
      <c r="DF67" s="34"/>
      <c r="DG67" s="34"/>
      <c r="DH67" s="34"/>
    </row>
    <row r="68" spans="30:112" s="73" customFormat="1" ht="12">
      <c r="AD68" s="89"/>
      <c r="AE68" s="89"/>
      <c r="CV68" s="34"/>
      <c r="CW68" s="34"/>
      <c r="CX68" s="34"/>
      <c r="CY68" s="34"/>
      <c r="CZ68" s="34"/>
      <c r="DA68" s="34"/>
      <c r="DB68" s="34"/>
      <c r="DC68" s="34"/>
      <c r="DD68" s="34"/>
      <c r="DE68" s="34"/>
      <c r="DF68" s="34"/>
      <c r="DG68" s="34"/>
      <c r="DH68" s="34"/>
    </row>
    <row r="69" spans="30:112" s="73" customFormat="1" ht="12">
      <c r="AD69" s="89"/>
      <c r="AE69" s="89"/>
      <c r="CV69" s="34"/>
      <c r="CW69" s="34"/>
      <c r="CX69" s="34"/>
      <c r="CY69" s="34"/>
      <c r="CZ69" s="34"/>
      <c r="DA69" s="34"/>
      <c r="DB69" s="34"/>
      <c r="DC69" s="34"/>
      <c r="DD69" s="34"/>
      <c r="DE69" s="34"/>
      <c r="DF69" s="34"/>
      <c r="DG69" s="34"/>
      <c r="DH69" s="34"/>
    </row>
    <row r="70" spans="30:112" s="73" customFormat="1" ht="12">
      <c r="AD70" s="89"/>
      <c r="AE70" s="89"/>
      <c r="CV70" s="34"/>
      <c r="CW70" s="34"/>
      <c r="CX70" s="34"/>
      <c r="CY70" s="34"/>
      <c r="CZ70" s="34"/>
      <c r="DA70" s="34"/>
      <c r="DB70" s="34"/>
      <c r="DC70" s="34"/>
      <c r="DD70" s="34"/>
      <c r="DE70" s="34"/>
      <c r="DF70" s="34"/>
      <c r="DG70" s="34"/>
      <c r="DH70" s="34"/>
    </row>
    <row r="71" spans="30:112" s="73" customFormat="1" ht="12">
      <c r="AD71" s="89"/>
      <c r="AE71" s="89"/>
      <c r="CV71" s="34"/>
      <c r="CW71" s="34"/>
      <c r="CX71" s="34"/>
      <c r="CY71" s="34"/>
      <c r="CZ71" s="34"/>
      <c r="DA71" s="34"/>
      <c r="DB71" s="34"/>
      <c r="DC71" s="34"/>
      <c r="DD71" s="34"/>
      <c r="DE71" s="34"/>
      <c r="DF71" s="34"/>
      <c r="DG71" s="34"/>
      <c r="DH71" s="34"/>
    </row>
    <row r="72" spans="30:112" s="73" customFormat="1" ht="12">
      <c r="AD72" s="89"/>
      <c r="AE72" s="89"/>
      <c r="CV72" s="34"/>
      <c r="CW72" s="34"/>
      <c r="CX72" s="34"/>
      <c r="CY72" s="34"/>
      <c r="CZ72" s="34"/>
      <c r="DA72" s="34"/>
      <c r="DB72" s="34"/>
      <c r="DC72" s="34"/>
      <c r="DD72" s="34"/>
      <c r="DE72" s="34"/>
      <c r="DF72" s="34"/>
      <c r="DG72" s="34"/>
      <c r="DH72" s="34"/>
    </row>
    <row r="73" spans="30:112" s="73" customFormat="1" ht="12">
      <c r="AD73" s="89"/>
      <c r="AE73" s="89"/>
      <c r="CV73" s="34"/>
      <c r="CW73" s="34"/>
      <c r="CX73" s="34"/>
      <c r="CY73" s="34"/>
      <c r="CZ73" s="34"/>
      <c r="DA73" s="34"/>
      <c r="DB73" s="34"/>
      <c r="DC73" s="34"/>
      <c r="DD73" s="34"/>
      <c r="DE73" s="34"/>
      <c r="DF73" s="34"/>
      <c r="DG73" s="34"/>
      <c r="DH73" s="34"/>
    </row>
    <row r="74" spans="30:112" s="73" customFormat="1" ht="12">
      <c r="AD74" s="89"/>
      <c r="AE74" s="89"/>
      <c r="CV74" s="34"/>
      <c r="CW74" s="34"/>
      <c r="CX74" s="34"/>
      <c r="CY74" s="34"/>
      <c r="CZ74" s="34"/>
      <c r="DA74" s="34"/>
      <c r="DB74" s="34"/>
      <c r="DC74" s="34"/>
      <c r="DD74" s="34"/>
      <c r="DE74" s="34"/>
      <c r="DF74" s="34"/>
      <c r="DG74" s="34"/>
      <c r="DH74" s="34"/>
    </row>
    <row r="75" spans="30:112" s="73" customFormat="1" ht="12">
      <c r="AD75" s="89"/>
      <c r="AE75" s="89"/>
      <c r="CV75" s="34"/>
      <c r="CW75" s="34"/>
      <c r="CX75" s="34"/>
      <c r="CY75" s="34"/>
      <c r="CZ75" s="34"/>
      <c r="DA75" s="34"/>
      <c r="DB75" s="34"/>
      <c r="DC75" s="34"/>
      <c r="DD75" s="34"/>
      <c r="DE75" s="34"/>
      <c r="DF75" s="34"/>
      <c r="DG75" s="34"/>
      <c r="DH75" s="34"/>
    </row>
    <row r="76" spans="30:112" s="73" customFormat="1" ht="12">
      <c r="AD76" s="89"/>
      <c r="AE76" s="89"/>
      <c r="CV76" s="34"/>
      <c r="CW76" s="34"/>
      <c r="CX76" s="34"/>
      <c r="CY76" s="34"/>
      <c r="CZ76" s="34"/>
      <c r="DA76" s="34"/>
      <c r="DB76" s="34"/>
      <c r="DC76" s="34"/>
      <c r="DD76" s="34"/>
      <c r="DE76" s="34"/>
      <c r="DF76" s="34"/>
      <c r="DG76" s="34"/>
      <c r="DH76" s="34"/>
    </row>
    <row r="77" spans="30:112" s="73" customFormat="1" ht="12">
      <c r="AD77" s="89"/>
      <c r="AE77" s="89"/>
      <c r="CV77" s="34"/>
      <c r="CW77" s="34"/>
      <c r="CX77" s="34"/>
      <c r="CY77" s="34"/>
      <c r="CZ77" s="34"/>
      <c r="DA77" s="34"/>
      <c r="DB77" s="34"/>
      <c r="DC77" s="34"/>
      <c r="DD77" s="34"/>
      <c r="DE77" s="34"/>
      <c r="DF77" s="34"/>
      <c r="DG77" s="34"/>
      <c r="DH77" s="34"/>
    </row>
    <row r="78" spans="30:112" s="73" customFormat="1" ht="12">
      <c r="AD78" s="89"/>
      <c r="AE78" s="89"/>
      <c r="CV78" s="34"/>
      <c r="CW78" s="34"/>
      <c r="CX78" s="34"/>
      <c r="CY78" s="34"/>
      <c r="CZ78" s="34"/>
      <c r="DA78" s="34"/>
      <c r="DB78" s="34"/>
      <c r="DC78" s="34"/>
      <c r="DD78" s="34"/>
      <c r="DE78" s="34"/>
      <c r="DF78" s="34"/>
      <c r="DG78" s="34"/>
      <c r="DH78" s="34"/>
    </row>
    <row r="79" spans="1:112" s="73" customFormat="1" ht="12">
      <c r="A79" s="94"/>
      <c r="AD79" s="89"/>
      <c r="AE79" s="89"/>
      <c r="CV79" s="34"/>
      <c r="CW79" s="34"/>
      <c r="CX79" s="34"/>
      <c r="CY79" s="34"/>
      <c r="CZ79" s="34"/>
      <c r="DA79" s="34"/>
      <c r="DB79" s="34"/>
      <c r="DC79" s="34"/>
      <c r="DD79" s="34"/>
      <c r="DE79" s="34"/>
      <c r="DF79" s="34"/>
      <c r="DG79" s="34"/>
      <c r="DH79" s="34"/>
    </row>
    <row r="80" spans="1:112" s="73" customFormat="1" ht="12">
      <c r="A80" s="94"/>
      <c r="AD80" s="89"/>
      <c r="AE80" s="89"/>
      <c r="CV80" s="34"/>
      <c r="CW80" s="34"/>
      <c r="CX80" s="34"/>
      <c r="CY80" s="34"/>
      <c r="CZ80" s="34"/>
      <c r="DA80" s="34"/>
      <c r="DB80" s="34"/>
      <c r="DC80" s="34"/>
      <c r="DD80" s="34"/>
      <c r="DE80" s="34"/>
      <c r="DF80" s="34"/>
      <c r="DG80" s="34"/>
      <c r="DH80" s="34"/>
    </row>
    <row r="81" spans="1:112" s="73" customFormat="1" ht="12">
      <c r="A81" s="94"/>
      <c r="X81" s="96"/>
      <c r="Y81" s="96"/>
      <c r="Z81" s="96"/>
      <c r="AA81" s="96"/>
      <c r="AB81" s="96"/>
      <c r="AD81" s="89"/>
      <c r="AE81" s="89"/>
      <c r="CV81" s="34"/>
      <c r="CW81" s="34"/>
      <c r="CX81" s="34"/>
      <c r="CY81" s="34"/>
      <c r="CZ81" s="34"/>
      <c r="DA81" s="34"/>
      <c r="DB81" s="34"/>
      <c r="DC81" s="34"/>
      <c r="DD81" s="34"/>
      <c r="DE81" s="34"/>
      <c r="DF81" s="34"/>
      <c r="DG81" s="34"/>
      <c r="DH81" s="34"/>
    </row>
    <row r="82" spans="1:112" s="96" customFormat="1" ht="12">
      <c r="A82" s="95"/>
      <c r="X82" s="73"/>
      <c r="Y82" s="73"/>
      <c r="Z82" s="73"/>
      <c r="AA82" s="73"/>
      <c r="AB82" s="73"/>
      <c r="AD82" s="97"/>
      <c r="AE82" s="97"/>
      <c r="CV82" s="34"/>
      <c r="CW82" s="34"/>
      <c r="CX82" s="34"/>
      <c r="CY82" s="34"/>
      <c r="CZ82" s="34"/>
      <c r="DA82" s="34"/>
      <c r="DB82" s="34"/>
      <c r="DC82" s="34"/>
      <c r="DD82" s="34"/>
      <c r="DE82" s="34"/>
      <c r="DF82" s="34"/>
      <c r="DG82" s="34"/>
      <c r="DH82" s="34"/>
    </row>
    <row r="83" spans="30:112" s="73" customFormat="1" ht="12">
      <c r="AD83" s="89"/>
      <c r="AE83" s="89"/>
      <c r="CV83" s="34"/>
      <c r="CW83" s="34"/>
      <c r="CX83" s="34"/>
      <c r="CY83" s="34"/>
      <c r="CZ83" s="34"/>
      <c r="DA83" s="34"/>
      <c r="DB83" s="34"/>
      <c r="DC83" s="34"/>
      <c r="DD83" s="34"/>
      <c r="DE83" s="34"/>
      <c r="DF83" s="34"/>
      <c r="DG83" s="34"/>
      <c r="DH83" s="34"/>
    </row>
    <row r="84" spans="30:112" s="73" customFormat="1" ht="12">
      <c r="AD84" s="89"/>
      <c r="AE84" s="89"/>
      <c r="CV84" s="34"/>
      <c r="CW84" s="34"/>
      <c r="CX84" s="34"/>
      <c r="CY84" s="34"/>
      <c r="CZ84" s="34"/>
      <c r="DA84" s="34"/>
      <c r="DB84" s="34"/>
      <c r="DC84" s="34"/>
      <c r="DD84" s="34"/>
      <c r="DE84" s="34"/>
      <c r="DF84" s="34"/>
      <c r="DG84" s="34"/>
      <c r="DH84" s="34"/>
    </row>
    <row r="85" spans="24:112" s="73" customFormat="1" ht="12">
      <c r="X85" s="36"/>
      <c r="Y85" s="36"/>
      <c r="Z85" s="36"/>
      <c r="AA85" s="36"/>
      <c r="AB85" s="36"/>
      <c r="AD85" s="89"/>
      <c r="AE85" s="89"/>
      <c r="CV85" s="34"/>
      <c r="CW85" s="34"/>
      <c r="CX85" s="34"/>
      <c r="CY85" s="34"/>
      <c r="CZ85" s="34"/>
      <c r="DA85" s="34"/>
      <c r="DB85" s="34"/>
      <c r="DC85" s="34"/>
      <c r="DD85" s="34"/>
      <c r="DE85" s="34"/>
      <c r="DF85" s="34"/>
      <c r="DG85" s="34"/>
      <c r="DH85" s="34"/>
    </row>
    <row r="86" spans="30:112" s="36" customFormat="1" ht="12">
      <c r="AD86" s="98"/>
      <c r="AE86" s="98"/>
      <c r="CV86" s="34"/>
      <c r="CW86" s="34"/>
      <c r="CX86" s="34"/>
      <c r="CY86" s="34"/>
      <c r="CZ86" s="34"/>
      <c r="DA86" s="34"/>
      <c r="DB86" s="34"/>
      <c r="DC86" s="34"/>
      <c r="DD86" s="34"/>
      <c r="DE86" s="34"/>
      <c r="DF86" s="34"/>
      <c r="DG86" s="34"/>
      <c r="DH86" s="34"/>
    </row>
    <row r="87" spans="30:112" s="36" customFormat="1" ht="12">
      <c r="AD87" s="98"/>
      <c r="AE87" s="98"/>
      <c r="CV87" s="34"/>
      <c r="CW87" s="34"/>
      <c r="CX87" s="34"/>
      <c r="CY87" s="34"/>
      <c r="CZ87" s="34"/>
      <c r="DA87" s="34"/>
      <c r="DB87" s="34"/>
      <c r="DC87" s="34"/>
      <c r="DD87" s="34"/>
      <c r="DE87" s="34"/>
      <c r="DF87" s="34"/>
      <c r="DG87" s="34"/>
      <c r="DH87" s="34"/>
    </row>
    <row r="88" spans="30:112" s="36" customFormat="1" ht="12">
      <c r="AD88" s="98"/>
      <c r="AE88" s="98"/>
      <c r="CV88" s="34"/>
      <c r="CW88" s="34"/>
      <c r="CX88" s="34"/>
      <c r="CY88" s="34"/>
      <c r="CZ88" s="34"/>
      <c r="DA88" s="34"/>
      <c r="DB88" s="34"/>
      <c r="DC88" s="34"/>
      <c r="DD88" s="34"/>
      <c r="DE88" s="34"/>
      <c r="DF88" s="34"/>
      <c r="DG88" s="34"/>
      <c r="DH88" s="34"/>
    </row>
    <row r="89" spans="30:112" s="36" customFormat="1" ht="12">
      <c r="AD89" s="98"/>
      <c r="AE89" s="98"/>
      <c r="CV89" s="34"/>
      <c r="CW89" s="34"/>
      <c r="CX89" s="34"/>
      <c r="CY89" s="34"/>
      <c r="CZ89" s="34"/>
      <c r="DA89" s="34"/>
      <c r="DB89" s="34"/>
      <c r="DC89" s="34"/>
      <c r="DD89" s="34"/>
      <c r="DE89" s="34"/>
      <c r="DF89" s="34"/>
      <c r="DG89" s="34"/>
      <c r="DH89" s="34"/>
    </row>
    <row r="90" spans="30:112" s="36" customFormat="1" ht="12">
      <c r="AD90" s="98"/>
      <c r="AE90" s="98"/>
      <c r="CV90" s="34"/>
      <c r="CW90" s="34"/>
      <c r="CX90" s="34"/>
      <c r="CY90" s="34"/>
      <c r="CZ90" s="34"/>
      <c r="DA90" s="34"/>
      <c r="DB90" s="34"/>
      <c r="DC90" s="34"/>
      <c r="DD90" s="34"/>
      <c r="DE90" s="34"/>
      <c r="DF90" s="34"/>
      <c r="DG90" s="34"/>
      <c r="DH90" s="34"/>
    </row>
    <row r="91" spans="30:112" s="36" customFormat="1" ht="12">
      <c r="AD91" s="98"/>
      <c r="AE91" s="98"/>
      <c r="CV91" s="34"/>
      <c r="CW91" s="34"/>
      <c r="CX91" s="34"/>
      <c r="CY91" s="34"/>
      <c r="CZ91" s="34"/>
      <c r="DA91" s="34"/>
      <c r="DB91" s="34"/>
      <c r="DC91" s="34"/>
      <c r="DD91" s="34"/>
      <c r="DE91" s="34"/>
      <c r="DF91" s="34"/>
      <c r="DG91" s="34"/>
      <c r="DH91" s="34"/>
    </row>
    <row r="92" spans="30:112" s="36" customFormat="1" ht="12">
      <c r="AD92" s="98"/>
      <c r="AE92" s="98"/>
      <c r="CV92" s="34"/>
      <c r="CW92" s="34"/>
      <c r="CX92" s="34"/>
      <c r="CY92" s="34"/>
      <c r="CZ92" s="34"/>
      <c r="DA92" s="34"/>
      <c r="DB92" s="34"/>
      <c r="DC92" s="34"/>
      <c r="DD92" s="34"/>
      <c r="DE92" s="34"/>
      <c r="DF92" s="34"/>
      <c r="DG92" s="34"/>
      <c r="DH92" s="34"/>
    </row>
    <row r="93" spans="30:112" s="36" customFormat="1" ht="12">
      <c r="AD93" s="98"/>
      <c r="AE93" s="98"/>
      <c r="CV93" s="34"/>
      <c r="CW93" s="34"/>
      <c r="CX93" s="34"/>
      <c r="CY93" s="34"/>
      <c r="CZ93" s="34"/>
      <c r="DA93" s="34"/>
      <c r="DB93" s="34"/>
      <c r="DC93" s="34"/>
      <c r="DD93" s="34"/>
      <c r="DE93" s="34"/>
      <c r="DF93" s="34"/>
      <c r="DG93" s="34"/>
      <c r="DH93" s="34"/>
    </row>
    <row r="94" spans="30:112" s="36" customFormat="1" ht="12">
      <c r="AD94" s="98"/>
      <c r="AE94" s="98"/>
      <c r="CV94" s="34"/>
      <c r="CW94" s="34"/>
      <c r="CX94" s="34"/>
      <c r="CY94" s="34"/>
      <c r="CZ94" s="34"/>
      <c r="DA94" s="34"/>
      <c r="DB94" s="34"/>
      <c r="DC94" s="34"/>
      <c r="DD94" s="34"/>
      <c r="DE94" s="34"/>
      <c r="DF94" s="34"/>
      <c r="DG94" s="34"/>
      <c r="DH94" s="34"/>
    </row>
    <row r="95" spans="30:112" s="36" customFormat="1" ht="12">
      <c r="AD95" s="98"/>
      <c r="AE95" s="98"/>
      <c r="CV95" s="34"/>
      <c r="CW95" s="34"/>
      <c r="CX95" s="34"/>
      <c r="CY95" s="34"/>
      <c r="CZ95" s="34"/>
      <c r="DA95" s="34"/>
      <c r="DB95" s="34"/>
      <c r="DC95" s="34"/>
      <c r="DD95" s="34"/>
      <c r="DE95" s="34"/>
      <c r="DF95" s="34"/>
      <c r="DG95" s="34"/>
      <c r="DH95" s="34"/>
    </row>
    <row r="96" spans="30:112" s="36" customFormat="1" ht="12">
      <c r="AD96" s="98"/>
      <c r="AE96" s="98"/>
      <c r="CV96" s="34"/>
      <c r="CW96" s="34"/>
      <c r="CX96" s="34"/>
      <c r="CY96" s="34"/>
      <c r="CZ96" s="34"/>
      <c r="DA96" s="34"/>
      <c r="DB96" s="34"/>
      <c r="DC96" s="34"/>
      <c r="DD96" s="34"/>
      <c r="DE96" s="34"/>
      <c r="DF96" s="34"/>
      <c r="DG96" s="34"/>
      <c r="DH96" s="34"/>
    </row>
    <row r="97" spans="30:112" s="36" customFormat="1" ht="12">
      <c r="AD97" s="98"/>
      <c r="AE97" s="98"/>
      <c r="CV97" s="34"/>
      <c r="CW97" s="34"/>
      <c r="CX97" s="34"/>
      <c r="CY97" s="34"/>
      <c r="CZ97" s="34"/>
      <c r="DA97" s="34"/>
      <c r="DB97" s="34"/>
      <c r="DC97" s="34"/>
      <c r="DD97" s="34"/>
      <c r="DE97" s="34"/>
      <c r="DF97" s="34"/>
      <c r="DG97" s="34"/>
      <c r="DH97" s="34"/>
    </row>
    <row r="98" spans="30:112" s="36" customFormat="1" ht="12">
      <c r="AD98" s="98"/>
      <c r="AE98" s="98"/>
      <c r="CV98" s="34"/>
      <c r="CW98" s="34"/>
      <c r="CX98" s="34"/>
      <c r="CY98" s="34"/>
      <c r="CZ98" s="34"/>
      <c r="DA98" s="34"/>
      <c r="DB98" s="34"/>
      <c r="DC98" s="34"/>
      <c r="DD98" s="34"/>
      <c r="DE98" s="34"/>
      <c r="DF98" s="34"/>
      <c r="DG98" s="34"/>
      <c r="DH98" s="34"/>
    </row>
    <row r="99" spans="30:112" s="36" customFormat="1" ht="12">
      <c r="AD99" s="98"/>
      <c r="AE99" s="98"/>
      <c r="CV99" s="34"/>
      <c r="CW99" s="34"/>
      <c r="CX99" s="34"/>
      <c r="CY99" s="34"/>
      <c r="CZ99" s="34"/>
      <c r="DA99" s="34"/>
      <c r="DB99" s="34"/>
      <c r="DC99" s="34"/>
      <c r="DD99" s="34"/>
      <c r="DE99" s="34"/>
      <c r="DF99" s="34"/>
      <c r="DG99" s="34"/>
      <c r="DH99" s="34"/>
    </row>
    <row r="100" spans="30:112" s="36" customFormat="1" ht="12">
      <c r="AD100" s="98"/>
      <c r="AE100" s="98"/>
      <c r="CV100" s="34"/>
      <c r="CW100" s="34"/>
      <c r="CX100" s="34"/>
      <c r="CY100" s="34"/>
      <c r="CZ100" s="34"/>
      <c r="DA100" s="34"/>
      <c r="DB100" s="34"/>
      <c r="DC100" s="34"/>
      <c r="DD100" s="34"/>
      <c r="DE100" s="34"/>
      <c r="DF100" s="34"/>
      <c r="DG100" s="34"/>
      <c r="DH100" s="34"/>
    </row>
    <row r="101" spans="30:112" s="36" customFormat="1" ht="12">
      <c r="AD101" s="98"/>
      <c r="AE101" s="98"/>
      <c r="CV101" s="34"/>
      <c r="CW101" s="34"/>
      <c r="CX101" s="34"/>
      <c r="CY101" s="34"/>
      <c r="CZ101" s="34"/>
      <c r="DA101" s="34"/>
      <c r="DB101" s="34"/>
      <c r="DC101" s="34"/>
      <c r="DD101" s="34"/>
      <c r="DE101" s="34"/>
      <c r="DF101" s="34"/>
      <c r="DG101" s="34"/>
      <c r="DH101" s="34"/>
    </row>
    <row r="102" spans="30:112" s="36" customFormat="1" ht="12">
      <c r="AD102" s="98"/>
      <c r="AE102" s="98"/>
      <c r="CV102" s="34"/>
      <c r="CW102" s="34"/>
      <c r="CX102" s="34"/>
      <c r="CY102" s="34"/>
      <c r="CZ102" s="34"/>
      <c r="DA102" s="34"/>
      <c r="DB102" s="34"/>
      <c r="DC102" s="34"/>
      <c r="DD102" s="34"/>
      <c r="DE102" s="34"/>
      <c r="DF102" s="34"/>
      <c r="DG102" s="34"/>
      <c r="DH102" s="34"/>
    </row>
    <row r="103" spans="30:112" s="36" customFormat="1" ht="12">
      <c r="AD103" s="98"/>
      <c r="AE103" s="98"/>
      <c r="CV103" s="34"/>
      <c r="CW103" s="34"/>
      <c r="CX103" s="34"/>
      <c r="CY103" s="34"/>
      <c r="CZ103" s="34"/>
      <c r="DA103" s="34"/>
      <c r="DB103" s="34"/>
      <c r="DC103" s="34"/>
      <c r="DD103" s="34"/>
      <c r="DE103" s="34"/>
      <c r="DF103" s="34"/>
      <c r="DG103" s="34"/>
      <c r="DH103" s="34"/>
    </row>
    <row r="104" spans="30:112" s="36" customFormat="1" ht="12">
      <c r="AD104" s="98"/>
      <c r="AE104" s="98"/>
      <c r="CV104" s="34"/>
      <c r="CW104" s="34"/>
      <c r="CX104" s="34"/>
      <c r="CY104" s="34"/>
      <c r="CZ104" s="34"/>
      <c r="DA104" s="34"/>
      <c r="DB104" s="34"/>
      <c r="DC104" s="34"/>
      <c r="DD104" s="34"/>
      <c r="DE104" s="34"/>
      <c r="DF104" s="34"/>
      <c r="DG104" s="34"/>
      <c r="DH104" s="34"/>
    </row>
    <row r="105" spans="30:112" s="36" customFormat="1" ht="12">
      <c r="AD105" s="98"/>
      <c r="AE105" s="98"/>
      <c r="CV105" s="34"/>
      <c r="CW105" s="34"/>
      <c r="CX105" s="34"/>
      <c r="CY105" s="34"/>
      <c r="CZ105" s="34"/>
      <c r="DA105" s="34"/>
      <c r="DB105" s="34"/>
      <c r="DC105" s="34"/>
      <c r="DD105" s="34"/>
      <c r="DE105" s="34"/>
      <c r="DF105" s="34"/>
      <c r="DG105" s="34"/>
      <c r="DH105" s="34"/>
    </row>
    <row r="106" spans="30:112" s="36" customFormat="1" ht="12">
      <c r="AD106" s="98"/>
      <c r="AE106" s="98"/>
      <c r="CV106" s="34"/>
      <c r="CW106" s="34"/>
      <c r="CX106" s="34"/>
      <c r="CY106" s="34"/>
      <c r="CZ106" s="34"/>
      <c r="DA106" s="34"/>
      <c r="DB106" s="34"/>
      <c r="DC106" s="34"/>
      <c r="DD106" s="34"/>
      <c r="DE106" s="34"/>
      <c r="DF106" s="34"/>
      <c r="DG106" s="34"/>
      <c r="DH106" s="34"/>
    </row>
    <row r="107" spans="30:112" s="36" customFormat="1" ht="12">
      <c r="AD107" s="98"/>
      <c r="AE107" s="98"/>
      <c r="CV107" s="34"/>
      <c r="CW107" s="34"/>
      <c r="CX107" s="34"/>
      <c r="CY107" s="34"/>
      <c r="CZ107" s="34"/>
      <c r="DA107" s="34"/>
      <c r="DB107" s="34"/>
      <c r="DC107" s="34"/>
      <c r="DD107" s="34"/>
      <c r="DE107" s="34"/>
      <c r="DF107" s="34"/>
      <c r="DG107" s="34"/>
      <c r="DH107" s="34"/>
    </row>
    <row r="108" spans="30:112" s="36" customFormat="1" ht="12">
      <c r="AD108" s="98"/>
      <c r="AE108" s="98"/>
      <c r="CV108" s="34"/>
      <c r="CW108" s="34"/>
      <c r="CX108" s="34"/>
      <c r="CY108" s="34"/>
      <c r="CZ108" s="34"/>
      <c r="DA108" s="34"/>
      <c r="DB108" s="34"/>
      <c r="DC108" s="34"/>
      <c r="DD108" s="34"/>
      <c r="DE108" s="34"/>
      <c r="DF108" s="34"/>
      <c r="DG108" s="34"/>
      <c r="DH108" s="34"/>
    </row>
    <row r="109" spans="30:112" s="36" customFormat="1" ht="12">
      <c r="AD109" s="98"/>
      <c r="AE109" s="98"/>
      <c r="CV109" s="34"/>
      <c r="CW109" s="34"/>
      <c r="CX109" s="34"/>
      <c r="CY109" s="34"/>
      <c r="CZ109" s="34"/>
      <c r="DA109" s="34"/>
      <c r="DB109" s="34"/>
      <c r="DC109" s="34"/>
      <c r="DD109" s="34"/>
      <c r="DE109" s="34"/>
      <c r="DF109" s="34"/>
      <c r="DG109" s="34"/>
      <c r="DH109" s="34"/>
    </row>
    <row r="110" spans="30:112" s="36" customFormat="1" ht="12">
      <c r="AD110" s="98"/>
      <c r="AE110" s="98"/>
      <c r="CV110" s="34"/>
      <c r="CW110" s="34"/>
      <c r="CX110" s="34"/>
      <c r="CY110" s="34"/>
      <c r="CZ110" s="34"/>
      <c r="DA110" s="34"/>
      <c r="DB110" s="34"/>
      <c r="DC110" s="34"/>
      <c r="DD110" s="34"/>
      <c r="DE110" s="34"/>
      <c r="DF110" s="34"/>
      <c r="DG110" s="34"/>
      <c r="DH110" s="34"/>
    </row>
    <row r="111" spans="30:112" s="36" customFormat="1" ht="12">
      <c r="AD111" s="98"/>
      <c r="AE111" s="98"/>
      <c r="CV111" s="34"/>
      <c r="CW111" s="34"/>
      <c r="CX111" s="34"/>
      <c r="CY111" s="34"/>
      <c r="CZ111" s="34"/>
      <c r="DA111" s="34"/>
      <c r="DB111" s="34"/>
      <c r="DC111" s="34"/>
      <c r="DD111" s="34"/>
      <c r="DE111" s="34"/>
      <c r="DF111" s="34"/>
      <c r="DG111" s="34"/>
      <c r="DH111" s="34"/>
    </row>
    <row r="112" spans="30:112" s="36" customFormat="1" ht="12">
      <c r="AD112" s="98"/>
      <c r="AE112" s="98"/>
      <c r="CV112" s="34"/>
      <c r="CW112" s="34"/>
      <c r="CX112" s="34"/>
      <c r="CY112" s="34"/>
      <c r="CZ112" s="34"/>
      <c r="DA112" s="34"/>
      <c r="DB112" s="34"/>
      <c r="DC112" s="34"/>
      <c r="DD112" s="34"/>
      <c r="DE112" s="34"/>
      <c r="DF112" s="34"/>
      <c r="DG112" s="34"/>
      <c r="DH112" s="34"/>
    </row>
    <row r="113" spans="30:112" s="36" customFormat="1" ht="12">
      <c r="AD113" s="98"/>
      <c r="AE113" s="98"/>
      <c r="CV113" s="34"/>
      <c r="CW113" s="34"/>
      <c r="CX113" s="34"/>
      <c r="CY113" s="34"/>
      <c r="CZ113" s="34"/>
      <c r="DA113" s="34"/>
      <c r="DB113" s="34"/>
      <c r="DC113" s="34"/>
      <c r="DD113" s="34"/>
      <c r="DE113" s="34"/>
      <c r="DF113" s="34"/>
      <c r="DG113" s="34"/>
      <c r="DH113" s="34"/>
    </row>
    <row r="114" spans="30:112" s="36" customFormat="1" ht="12">
      <c r="AD114" s="98"/>
      <c r="AE114" s="98"/>
      <c r="CV114" s="34"/>
      <c r="CW114" s="34"/>
      <c r="CX114" s="34"/>
      <c r="CY114" s="34"/>
      <c r="CZ114" s="34"/>
      <c r="DA114" s="34"/>
      <c r="DB114" s="34"/>
      <c r="DC114" s="34"/>
      <c r="DD114" s="34"/>
      <c r="DE114" s="34"/>
      <c r="DF114" s="34"/>
      <c r="DG114" s="34"/>
      <c r="DH114" s="34"/>
    </row>
    <row r="115" spans="30:112" s="36" customFormat="1" ht="12">
      <c r="AD115" s="98"/>
      <c r="AE115" s="98"/>
      <c r="CV115" s="34"/>
      <c r="CW115" s="34"/>
      <c r="CX115" s="34"/>
      <c r="CY115" s="34"/>
      <c r="CZ115" s="34"/>
      <c r="DA115" s="34"/>
      <c r="DB115" s="34"/>
      <c r="DC115" s="34"/>
      <c r="DD115" s="34"/>
      <c r="DE115" s="34"/>
      <c r="DF115" s="34"/>
      <c r="DG115" s="34"/>
      <c r="DH115" s="34"/>
    </row>
    <row r="116" spans="30:112" s="36" customFormat="1" ht="12">
      <c r="AD116" s="98"/>
      <c r="AE116" s="98"/>
      <c r="CV116" s="34"/>
      <c r="CW116" s="34"/>
      <c r="CX116" s="34"/>
      <c r="CY116" s="34"/>
      <c r="CZ116" s="34"/>
      <c r="DA116" s="34"/>
      <c r="DB116" s="34"/>
      <c r="DC116" s="34"/>
      <c r="DD116" s="34"/>
      <c r="DE116" s="34"/>
      <c r="DF116" s="34"/>
      <c r="DG116" s="34"/>
      <c r="DH116" s="34"/>
    </row>
    <row r="117" spans="30:112" s="36" customFormat="1" ht="12">
      <c r="AD117" s="98"/>
      <c r="AE117" s="98"/>
      <c r="CV117" s="34"/>
      <c r="CW117" s="34"/>
      <c r="CX117" s="34"/>
      <c r="CY117" s="34"/>
      <c r="CZ117" s="34"/>
      <c r="DA117" s="34"/>
      <c r="DB117" s="34"/>
      <c r="DC117" s="34"/>
      <c r="DD117" s="34"/>
      <c r="DE117" s="34"/>
      <c r="DF117" s="34"/>
      <c r="DG117" s="34"/>
      <c r="DH117" s="34"/>
    </row>
    <row r="118" spans="30:112" s="36" customFormat="1" ht="12">
      <c r="AD118" s="98"/>
      <c r="AE118" s="98"/>
      <c r="CV118" s="34"/>
      <c r="CW118" s="34"/>
      <c r="CX118" s="34"/>
      <c r="CY118" s="34"/>
      <c r="CZ118" s="34"/>
      <c r="DA118" s="34"/>
      <c r="DB118" s="34"/>
      <c r="DC118" s="34"/>
      <c r="DD118" s="34"/>
      <c r="DE118" s="34"/>
      <c r="DF118" s="34"/>
      <c r="DG118" s="34"/>
      <c r="DH118" s="34"/>
    </row>
    <row r="119" spans="30:112" s="36" customFormat="1" ht="12">
      <c r="AD119" s="98"/>
      <c r="AE119" s="98"/>
      <c r="CV119" s="34"/>
      <c r="CW119" s="34"/>
      <c r="CX119" s="34"/>
      <c r="CY119" s="34"/>
      <c r="CZ119" s="34"/>
      <c r="DA119" s="34"/>
      <c r="DB119" s="34"/>
      <c r="DC119" s="34"/>
      <c r="DD119" s="34"/>
      <c r="DE119" s="34"/>
      <c r="DF119" s="34"/>
      <c r="DG119" s="34"/>
      <c r="DH119" s="34"/>
    </row>
    <row r="120" spans="30:112" s="36" customFormat="1" ht="12">
      <c r="AD120" s="98"/>
      <c r="AE120" s="98"/>
      <c r="CV120" s="34"/>
      <c r="CW120" s="34"/>
      <c r="CX120" s="34"/>
      <c r="CY120" s="34"/>
      <c r="CZ120" s="34"/>
      <c r="DA120" s="34"/>
      <c r="DB120" s="34"/>
      <c r="DC120" s="34"/>
      <c r="DD120" s="34"/>
      <c r="DE120" s="34"/>
      <c r="DF120" s="34"/>
      <c r="DG120" s="34"/>
      <c r="DH120" s="34"/>
    </row>
    <row r="121" spans="30:112" s="36" customFormat="1" ht="12">
      <c r="AD121" s="98"/>
      <c r="AE121" s="98"/>
      <c r="CV121" s="34"/>
      <c r="CW121" s="34"/>
      <c r="CX121" s="34"/>
      <c r="CY121" s="34"/>
      <c r="CZ121" s="34"/>
      <c r="DA121" s="34"/>
      <c r="DB121" s="34"/>
      <c r="DC121" s="34"/>
      <c r="DD121" s="34"/>
      <c r="DE121" s="34"/>
      <c r="DF121" s="34"/>
      <c r="DG121" s="34"/>
      <c r="DH121" s="34"/>
    </row>
    <row r="122" spans="30:112" s="36" customFormat="1" ht="12">
      <c r="AD122" s="98"/>
      <c r="AE122" s="98"/>
      <c r="CV122" s="34"/>
      <c r="CW122" s="34"/>
      <c r="CX122" s="34"/>
      <c r="CY122" s="34"/>
      <c r="CZ122" s="34"/>
      <c r="DA122" s="34"/>
      <c r="DB122" s="34"/>
      <c r="DC122" s="34"/>
      <c r="DD122" s="34"/>
      <c r="DE122" s="34"/>
      <c r="DF122" s="34"/>
      <c r="DG122" s="34"/>
      <c r="DH122" s="34"/>
    </row>
    <row r="123" spans="30:112" s="36" customFormat="1" ht="12">
      <c r="AD123" s="98"/>
      <c r="AE123" s="98"/>
      <c r="CV123" s="34"/>
      <c r="CW123" s="34"/>
      <c r="CX123" s="34"/>
      <c r="CY123" s="34"/>
      <c r="CZ123" s="34"/>
      <c r="DA123" s="34"/>
      <c r="DB123" s="34"/>
      <c r="DC123" s="34"/>
      <c r="DD123" s="34"/>
      <c r="DE123" s="34"/>
      <c r="DF123" s="34"/>
      <c r="DG123" s="34"/>
      <c r="DH123" s="34"/>
    </row>
    <row r="124" spans="30:112" s="36" customFormat="1" ht="12">
      <c r="AD124" s="98"/>
      <c r="AE124" s="98"/>
      <c r="CV124" s="34"/>
      <c r="CW124" s="34"/>
      <c r="CX124" s="34"/>
      <c r="CY124" s="34"/>
      <c r="CZ124" s="34"/>
      <c r="DA124" s="34"/>
      <c r="DB124" s="34"/>
      <c r="DC124" s="34"/>
      <c r="DD124" s="34"/>
      <c r="DE124" s="34"/>
      <c r="DF124" s="34"/>
      <c r="DG124" s="34"/>
      <c r="DH124" s="34"/>
    </row>
    <row r="125" spans="30:112" s="36" customFormat="1" ht="12">
      <c r="AD125" s="98"/>
      <c r="AE125" s="98"/>
      <c r="CV125" s="34"/>
      <c r="CW125" s="34"/>
      <c r="CX125" s="34"/>
      <c r="CY125" s="34"/>
      <c r="CZ125" s="34"/>
      <c r="DA125" s="34"/>
      <c r="DB125" s="34"/>
      <c r="DC125" s="34"/>
      <c r="DD125" s="34"/>
      <c r="DE125" s="34"/>
      <c r="DF125" s="34"/>
      <c r="DG125" s="34"/>
      <c r="DH125" s="34"/>
    </row>
    <row r="126" spans="30:112" s="36" customFormat="1" ht="12">
      <c r="AD126" s="98"/>
      <c r="AE126" s="98"/>
      <c r="CV126" s="34"/>
      <c r="CW126" s="34"/>
      <c r="CX126" s="34"/>
      <c r="CY126" s="34"/>
      <c r="CZ126" s="34"/>
      <c r="DA126" s="34"/>
      <c r="DB126" s="34"/>
      <c r="DC126" s="34"/>
      <c r="DD126" s="34"/>
      <c r="DE126" s="34"/>
      <c r="DF126" s="34"/>
      <c r="DG126" s="34"/>
      <c r="DH126" s="34"/>
    </row>
    <row r="127" spans="30:112" s="36" customFormat="1" ht="12">
      <c r="AD127" s="98"/>
      <c r="AE127" s="98"/>
      <c r="CV127" s="34"/>
      <c r="CW127" s="34"/>
      <c r="CX127" s="34"/>
      <c r="CY127" s="34"/>
      <c r="CZ127" s="34"/>
      <c r="DA127" s="34"/>
      <c r="DB127" s="34"/>
      <c r="DC127" s="34"/>
      <c r="DD127" s="34"/>
      <c r="DE127" s="34"/>
      <c r="DF127" s="34"/>
      <c r="DG127" s="34"/>
      <c r="DH127" s="34"/>
    </row>
    <row r="128" spans="30:112" s="36" customFormat="1" ht="12">
      <c r="AD128" s="98"/>
      <c r="AE128" s="98"/>
      <c r="CV128" s="34"/>
      <c r="CW128" s="34"/>
      <c r="CX128" s="34"/>
      <c r="CY128" s="34"/>
      <c r="CZ128" s="34"/>
      <c r="DA128" s="34"/>
      <c r="DB128" s="34"/>
      <c r="DC128" s="34"/>
      <c r="DD128" s="34"/>
      <c r="DE128" s="34"/>
      <c r="DF128" s="34"/>
      <c r="DG128" s="34"/>
      <c r="DH128" s="34"/>
    </row>
    <row r="129" spans="30:112" s="36" customFormat="1" ht="12">
      <c r="AD129" s="98"/>
      <c r="AE129" s="98"/>
      <c r="CV129" s="34"/>
      <c r="CW129" s="34"/>
      <c r="CX129" s="34"/>
      <c r="CY129" s="34"/>
      <c r="CZ129" s="34"/>
      <c r="DA129" s="34"/>
      <c r="DB129" s="34"/>
      <c r="DC129" s="34"/>
      <c r="DD129" s="34"/>
      <c r="DE129" s="34"/>
      <c r="DF129" s="34"/>
      <c r="DG129" s="34"/>
      <c r="DH129" s="34"/>
    </row>
    <row r="130" spans="30:112" s="36" customFormat="1" ht="12">
      <c r="AD130" s="98"/>
      <c r="AE130" s="98"/>
      <c r="CV130" s="34"/>
      <c r="CW130" s="34"/>
      <c r="CX130" s="34"/>
      <c r="CY130" s="34"/>
      <c r="CZ130" s="34"/>
      <c r="DA130" s="34"/>
      <c r="DB130" s="34"/>
      <c r="DC130" s="34"/>
      <c r="DD130" s="34"/>
      <c r="DE130" s="34"/>
      <c r="DF130" s="34"/>
      <c r="DG130" s="34"/>
      <c r="DH130" s="34"/>
    </row>
    <row r="131" spans="30:112" s="36" customFormat="1" ht="12">
      <c r="AD131" s="98"/>
      <c r="AE131" s="98"/>
      <c r="CV131" s="34"/>
      <c r="CW131" s="34"/>
      <c r="CX131" s="34"/>
      <c r="CY131" s="34"/>
      <c r="CZ131" s="34"/>
      <c r="DA131" s="34"/>
      <c r="DB131" s="34"/>
      <c r="DC131" s="34"/>
      <c r="DD131" s="34"/>
      <c r="DE131" s="34"/>
      <c r="DF131" s="34"/>
      <c r="DG131" s="34"/>
      <c r="DH131" s="34"/>
    </row>
    <row r="132" spans="30:112" s="36" customFormat="1" ht="12">
      <c r="AD132" s="98"/>
      <c r="AE132" s="98"/>
      <c r="CV132" s="34"/>
      <c r="CW132" s="34"/>
      <c r="CX132" s="34"/>
      <c r="CY132" s="34"/>
      <c r="CZ132" s="34"/>
      <c r="DA132" s="34"/>
      <c r="DB132" s="34"/>
      <c r="DC132" s="34"/>
      <c r="DD132" s="34"/>
      <c r="DE132" s="34"/>
      <c r="DF132" s="34"/>
      <c r="DG132" s="34"/>
      <c r="DH132" s="34"/>
    </row>
    <row r="133" spans="30:112" s="36" customFormat="1" ht="12">
      <c r="AD133" s="98"/>
      <c r="AE133" s="98"/>
      <c r="CV133" s="34"/>
      <c r="CW133" s="34"/>
      <c r="CX133" s="34"/>
      <c r="CY133" s="34"/>
      <c r="CZ133" s="34"/>
      <c r="DA133" s="34"/>
      <c r="DB133" s="34"/>
      <c r="DC133" s="34"/>
      <c r="DD133" s="34"/>
      <c r="DE133" s="34"/>
      <c r="DF133" s="34"/>
      <c r="DG133" s="34"/>
      <c r="DH133" s="34"/>
    </row>
    <row r="134" spans="30:112" s="36" customFormat="1" ht="12">
      <c r="AD134" s="98"/>
      <c r="AE134" s="98"/>
      <c r="CV134" s="34"/>
      <c r="CW134" s="34"/>
      <c r="CX134" s="34"/>
      <c r="CY134" s="34"/>
      <c r="CZ134" s="34"/>
      <c r="DA134" s="34"/>
      <c r="DB134" s="34"/>
      <c r="DC134" s="34"/>
      <c r="DD134" s="34"/>
      <c r="DE134" s="34"/>
      <c r="DF134" s="34"/>
      <c r="DG134" s="34"/>
      <c r="DH134" s="34"/>
    </row>
    <row r="135" spans="30:112" s="36" customFormat="1" ht="12">
      <c r="AD135" s="98"/>
      <c r="AE135" s="98"/>
      <c r="CV135" s="34"/>
      <c r="CW135" s="34"/>
      <c r="CX135" s="34"/>
      <c r="CY135" s="34"/>
      <c r="CZ135" s="34"/>
      <c r="DA135" s="34"/>
      <c r="DB135" s="34"/>
      <c r="DC135" s="34"/>
      <c r="DD135" s="34"/>
      <c r="DE135" s="34"/>
      <c r="DF135" s="34"/>
      <c r="DG135" s="34"/>
      <c r="DH135" s="34"/>
    </row>
    <row r="136" spans="30:112" s="36" customFormat="1" ht="12">
      <c r="AD136" s="98"/>
      <c r="AE136" s="98"/>
      <c r="CV136" s="34"/>
      <c r="CW136" s="34"/>
      <c r="CX136" s="34"/>
      <c r="CY136" s="34"/>
      <c r="CZ136" s="34"/>
      <c r="DA136" s="34"/>
      <c r="DB136" s="34"/>
      <c r="DC136" s="34"/>
      <c r="DD136" s="34"/>
      <c r="DE136" s="34"/>
      <c r="DF136" s="34"/>
      <c r="DG136" s="34"/>
      <c r="DH136" s="34"/>
    </row>
    <row r="137" spans="30:112" s="36" customFormat="1" ht="12">
      <c r="AD137" s="98"/>
      <c r="AE137" s="98"/>
      <c r="CV137" s="34"/>
      <c r="CW137" s="34"/>
      <c r="CX137" s="34"/>
      <c r="CY137" s="34"/>
      <c r="CZ137" s="34"/>
      <c r="DA137" s="34"/>
      <c r="DB137" s="34"/>
      <c r="DC137" s="34"/>
      <c r="DD137" s="34"/>
      <c r="DE137" s="34"/>
      <c r="DF137" s="34"/>
      <c r="DG137" s="34"/>
      <c r="DH137" s="34"/>
    </row>
    <row r="138" spans="30:112" s="36" customFormat="1" ht="12">
      <c r="AD138" s="98"/>
      <c r="AE138" s="98"/>
      <c r="CV138" s="34"/>
      <c r="CW138" s="34"/>
      <c r="CX138" s="34"/>
      <c r="CY138" s="34"/>
      <c r="CZ138" s="34"/>
      <c r="DA138" s="34"/>
      <c r="DB138" s="34"/>
      <c r="DC138" s="34"/>
      <c r="DD138" s="34"/>
      <c r="DE138" s="34"/>
      <c r="DF138" s="34"/>
      <c r="DG138" s="34"/>
      <c r="DH138" s="34"/>
    </row>
    <row r="139" spans="30:112" s="36" customFormat="1" ht="12">
      <c r="AD139" s="98"/>
      <c r="AE139" s="98"/>
      <c r="CV139" s="34"/>
      <c r="CW139" s="34"/>
      <c r="CX139" s="34"/>
      <c r="CY139" s="34"/>
      <c r="CZ139" s="34"/>
      <c r="DA139" s="34"/>
      <c r="DB139" s="34"/>
      <c r="DC139" s="34"/>
      <c r="DD139" s="34"/>
      <c r="DE139" s="34"/>
      <c r="DF139" s="34"/>
      <c r="DG139" s="34"/>
      <c r="DH139" s="34"/>
    </row>
    <row r="140" spans="30:112" s="36" customFormat="1" ht="12">
      <c r="AD140" s="98"/>
      <c r="AE140" s="98"/>
      <c r="CV140" s="34"/>
      <c r="CW140" s="34"/>
      <c r="CX140" s="34"/>
      <c r="CY140" s="34"/>
      <c r="CZ140" s="34"/>
      <c r="DA140" s="34"/>
      <c r="DB140" s="34"/>
      <c r="DC140" s="34"/>
      <c r="DD140" s="34"/>
      <c r="DE140" s="34"/>
      <c r="DF140" s="34"/>
      <c r="DG140" s="34"/>
      <c r="DH140" s="34"/>
    </row>
    <row r="141" spans="30:112" s="36" customFormat="1" ht="12">
      <c r="AD141" s="98"/>
      <c r="AE141" s="98"/>
      <c r="CV141" s="34"/>
      <c r="CW141" s="34"/>
      <c r="CX141" s="34"/>
      <c r="CY141" s="34"/>
      <c r="CZ141" s="34"/>
      <c r="DA141" s="34"/>
      <c r="DB141" s="34"/>
      <c r="DC141" s="34"/>
      <c r="DD141" s="34"/>
      <c r="DE141" s="34"/>
      <c r="DF141" s="34"/>
      <c r="DG141" s="34"/>
      <c r="DH141" s="34"/>
    </row>
    <row r="142" spans="30:112" s="36" customFormat="1" ht="12">
      <c r="AD142" s="98"/>
      <c r="AE142" s="98"/>
      <c r="CV142" s="34"/>
      <c r="CW142" s="34"/>
      <c r="CX142" s="34"/>
      <c r="CY142" s="34"/>
      <c r="CZ142" s="34"/>
      <c r="DA142" s="34"/>
      <c r="DB142" s="34"/>
      <c r="DC142" s="34"/>
      <c r="DD142" s="34"/>
      <c r="DE142" s="34"/>
      <c r="DF142" s="34"/>
      <c r="DG142" s="34"/>
      <c r="DH142" s="34"/>
    </row>
    <row r="143" spans="30:112" s="36" customFormat="1" ht="12">
      <c r="AD143" s="98"/>
      <c r="AE143" s="98"/>
      <c r="CV143" s="34"/>
      <c r="CW143" s="34"/>
      <c r="CX143" s="34"/>
      <c r="CY143" s="34"/>
      <c r="CZ143" s="34"/>
      <c r="DA143" s="34"/>
      <c r="DB143" s="34"/>
      <c r="DC143" s="34"/>
      <c r="DD143" s="34"/>
      <c r="DE143" s="34"/>
      <c r="DF143" s="34"/>
      <c r="DG143" s="34"/>
      <c r="DH143" s="34"/>
    </row>
    <row r="144" spans="30:112" s="36" customFormat="1" ht="12">
      <c r="AD144" s="98"/>
      <c r="AE144" s="98"/>
      <c r="CV144" s="34"/>
      <c r="CW144" s="34"/>
      <c r="CX144" s="34"/>
      <c r="CY144" s="34"/>
      <c r="CZ144" s="34"/>
      <c r="DA144" s="34"/>
      <c r="DB144" s="34"/>
      <c r="DC144" s="34"/>
      <c r="DD144" s="34"/>
      <c r="DE144" s="34"/>
      <c r="DF144" s="34"/>
      <c r="DG144" s="34"/>
      <c r="DH144" s="34"/>
    </row>
    <row r="145" spans="30:112" s="36" customFormat="1" ht="12">
      <c r="AD145" s="98"/>
      <c r="AE145" s="98"/>
      <c r="CV145" s="34"/>
      <c r="CW145" s="34"/>
      <c r="CX145" s="34"/>
      <c r="CY145" s="34"/>
      <c r="CZ145" s="34"/>
      <c r="DA145" s="34"/>
      <c r="DB145" s="34"/>
      <c r="DC145" s="34"/>
      <c r="DD145" s="34"/>
      <c r="DE145" s="34"/>
      <c r="DF145" s="34"/>
      <c r="DG145" s="34"/>
      <c r="DH145" s="34"/>
    </row>
    <row r="146" spans="30:112" s="36" customFormat="1" ht="12">
      <c r="AD146" s="98"/>
      <c r="AE146" s="98"/>
      <c r="CV146" s="34"/>
      <c r="CW146" s="34"/>
      <c r="CX146" s="34"/>
      <c r="CY146" s="34"/>
      <c r="CZ146" s="34"/>
      <c r="DA146" s="34"/>
      <c r="DB146" s="34"/>
      <c r="DC146" s="34"/>
      <c r="DD146" s="34"/>
      <c r="DE146" s="34"/>
      <c r="DF146" s="34"/>
      <c r="DG146" s="34"/>
      <c r="DH146" s="34"/>
    </row>
    <row r="147" spans="30:112" s="36" customFormat="1" ht="12">
      <c r="AD147" s="98"/>
      <c r="AE147" s="98"/>
      <c r="CV147" s="34"/>
      <c r="CW147" s="34"/>
      <c r="CX147" s="34"/>
      <c r="CY147" s="34"/>
      <c r="CZ147" s="34"/>
      <c r="DA147" s="34"/>
      <c r="DB147" s="34"/>
      <c r="DC147" s="34"/>
      <c r="DD147" s="34"/>
      <c r="DE147" s="34"/>
      <c r="DF147" s="34"/>
      <c r="DG147" s="34"/>
      <c r="DH147" s="34"/>
    </row>
    <row r="148" spans="30:112" s="36" customFormat="1" ht="12">
      <c r="AD148" s="98"/>
      <c r="AE148" s="98"/>
      <c r="CV148" s="34"/>
      <c r="CW148" s="34"/>
      <c r="CX148" s="34"/>
      <c r="CY148" s="34"/>
      <c r="CZ148" s="34"/>
      <c r="DA148" s="34"/>
      <c r="DB148" s="34"/>
      <c r="DC148" s="34"/>
      <c r="DD148" s="34"/>
      <c r="DE148" s="34"/>
      <c r="DF148" s="34"/>
      <c r="DG148" s="34"/>
      <c r="DH148" s="34"/>
    </row>
    <row r="149" spans="30:112" s="36" customFormat="1" ht="12">
      <c r="AD149" s="98"/>
      <c r="AE149" s="98"/>
      <c r="CV149" s="34"/>
      <c r="CW149" s="34"/>
      <c r="CX149" s="34"/>
      <c r="CY149" s="34"/>
      <c r="CZ149" s="34"/>
      <c r="DA149" s="34"/>
      <c r="DB149" s="34"/>
      <c r="DC149" s="34"/>
      <c r="DD149" s="34"/>
      <c r="DE149" s="34"/>
      <c r="DF149" s="34"/>
      <c r="DG149" s="34"/>
      <c r="DH149" s="34"/>
    </row>
    <row r="150" spans="30:112" s="36" customFormat="1" ht="12">
      <c r="AD150" s="98"/>
      <c r="AE150" s="98"/>
      <c r="CV150" s="34"/>
      <c r="CW150" s="34"/>
      <c r="CX150" s="34"/>
      <c r="CY150" s="34"/>
      <c r="CZ150" s="34"/>
      <c r="DA150" s="34"/>
      <c r="DB150" s="34"/>
      <c r="DC150" s="34"/>
      <c r="DD150" s="34"/>
      <c r="DE150" s="34"/>
      <c r="DF150" s="34"/>
      <c r="DG150" s="34"/>
      <c r="DH150" s="34"/>
    </row>
    <row r="151" spans="30:112" s="36" customFormat="1" ht="12">
      <c r="AD151" s="98"/>
      <c r="AE151" s="98"/>
      <c r="CV151" s="34"/>
      <c r="CW151" s="34"/>
      <c r="CX151" s="34"/>
      <c r="CY151" s="34"/>
      <c r="CZ151" s="34"/>
      <c r="DA151" s="34"/>
      <c r="DB151" s="34"/>
      <c r="DC151" s="34"/>
      <c r="DD151" s="34"/>
      <c r="DE151" s="34"/>
      <c r="DF151" s="34"/>
      <c r="DG151" s="34"/>
      <c r="DH151" s="34"/>
    </row>
    <row r="152" spans="30:112" s="36" customFormat="1" ht="12">
      <c r="AD152" s="98"/>
      <c r="AE152" s="98"/>
      <c r="CV152" s="34"/>
      <c r="CW152" s="34"/>
      <c r="CX152" s="34"/>
      <c r="CY152" s="34"/>
      <c r="CZ152" s="34"/>
      <c r="DA152" s="34"/>
      <c r="DB152" s="34"/>
      <c r="DC152" s="34"/>
      <c r="DD152" s="34"/>
      <c r="DE152" s="34"/>
      <c r="DF152" s="34"/>
      <c r="DG152" s="34"/>
      <c r="DH152" s="34"/>
    </row>
    <row r="153" spans="30:112" s="36" customFormat="1" ht="12">
      <c r="AD153" s="98"/>
      <c r="AE153" s="98"/>
      <c r="CV153" s="34"/>
      <c r="CW153" s="34"/>
      <c r="CX153" s="34"/>
      <c r="CY153" s="34"/>
      <c r="CZ153" s="34"/>
      <c r="DA153" s="34"/>
      <c r="DB153" s="34"/>
      <c r="DC153" s="34"/>
      <c r="DD153" s="34"/>
      <c r="DE153" s="34"/>
      <c r="DF153" s="34"/>
      <c r="DG153" s="34"/>
      <c r="DH153" s="34"/>
    </row>
    <row r="154" spans="30:112" s="36" customFormat="1" ht="12">
      <c r="AD154" s="98"/>
      <c r="AE154" s="98"/>
      <c r="CV154" s="34"/>
      <c r="CW154" s="34"/>
      <c r="CX154" s="34"/>
      <c r="CY154" s="34"/>
      <c r="CZ154" s="34"/>
      <c r="DA154" s="34"/>
      <c r="DB154" s="34"/>
      <c r="DC154" s="34"/>
      <c r="DD154" s="34"/>
      <c r="DE154" s="34"/>
      <c r="DF154" s="34"/>
      <c r="DG154" s="34"/>
      <c r="DH154" s="34"/>
    </row>
    <row r="155" spans="30:112" s="36" customFormat="1" ht="12">
      <c r="AD155" s="98"/>
      <c r="AE155" s="98"/>
      <c r="CV155" s="34"/>
      <c r="CW155" s="34"/>
      <c r="CX155" s="34"/>
      <c r="CY155" s="34"/>
      <c r="CZ155" s="34"/>
      <c r="DA155" s="34"/>
      <c r="DB155" s="34"/>
      <c r="DC155" s="34"/>
      <c r="DD155" s="34"/>
      <c r="DE155" s="34"/>
      <c r="DF155" s="34"/>
      <c r="DG155" s="34"/>
      <c r="DH155" s="34"/>
    </row>
    <row r="156" spans="30:112" s="36" customFormat="1" ht="12">
      <c r="AD156" s="98"/>
      <c r="AE156" s="98"/>
      <c r="CV156" s="34"/>
      <c r="CW156" s="34"/>
      <c r="CX156" s="34"/>
      <c r="CY156" s="34"/>
      <c r="CZ156" s="34"/>
      <c r="DA156" s="34"/>
      <c r="DB156" s="34"/>
      <c r="DC156" s="34"/>
      <c r="DD156" s="34"/>
      <c r="DE156" s="34"/>
      <c r="DF156" s="34"/>
      <c r="DG156" s="34"/>
      <c r="DH156" s="34"/>
    </row>
    <row r="157" spans="30:112" s="36" customFormat="1" ht="12">
      <c r="AD157" s="98"/>
      <c r="AE157" s="98"/>
      <c r="CV157" s="34"/>
      <c r="CW157" s="34"/>
      <c r="CX157" s="34"/>
      <c r="CY157" s="34"/>
      <c r="CZ157" s="34"/>
      <c r="DA157" s="34"/>
      <c r="DB157" s="34"/>
      <c r="DC157" s="34"/>
      <c r="DD157" s="34"/>
      <c r="DE157" s="34"/>
      <c r="DF157" s="34"/>
      <c r="DG157" s="34"/>
      <c r="DH157" s="34"/>
    </row>
    <row r="158" spans="30:112" s="36" customFormat="1" ht="12">
      <c r="AD158" s="98"/>
      <c r="AE158" s="98"/>
      <c r="CV158" s="34"/>
      <c r="CW158" s="34"/>
      <c r="CX158" s="34"/>
      <c r="CY158" s="34"/>
      <c r="CZ158" s="34"/>
      <c r="DA158" s="34"/>
      <c r="DB158" s="34"/>
      <c r="DC158" s="34"/>
      <c r="DD158" s="34"/>
      <c r="DE158" s="34"/>
      <c r="DF158" s="34"/>
      <c r="DG158" s="34"/>
      <c r="DH158" s="34"/>
    </row>
    <row r="159" spans="30:112" s="36" customFormat="1" ht="12">
      <c r="AD159" s="98"/>
      <c r="AE159" s="98"/>
      <c r="CV159" s="34"/>
      <c r="CW159" s="34"/>
      <c r="CX159" s="34"/>
      <c r="CY159" s="34"/>
      <c r="CZ159" s="34"/>
      <c r="DA159" s="34"/>
      <c r="DB159" s="34"/>
      <c r="DC159" s="34"/>
      <c r="DD159" s="34"/>
      <c r="DE159" s="34"/>
      <c r="DF159" s="34"/>
      <c r="DG159" s="34"/>
      <c r="DH159" s="34"/>
    </row>
    <row r="160" spans="30:112" s="36" customFormat="1" ht="12">
      <c r="AD160" s="98"/>
      <c r="AE160" s="98"/>
      <c r="CV160" s="34"/>
      <c r="CW160" s="34"/>
      <c r="CX160" s="34"/>
      <c r="CY160" s="34"/>
      <c r="CZ160" s="34"/>
      <c r="DA160" s="34"/>
      <c r="DB160" s="34"/>
      <c r="DC160" s="34"/>
      <c r="DD160" s="34"/>
      <c r="DE160" s="34"/>
      <c r="DF160" s="34"/>
      <c r="DG160" s="34"/>
      <c r="DH160" s="34"/>
    </row>
    <row r="161" spans="30:112" s="36" customFormat="1" ht="12">
      <c r="AD161" s="98"/>
      <c r="AE161" s="98"/>
      <c r="CV161" s="34"/>
      <c r="CW161" s="34"/>
      <c r="CX161" s="34"/>
      <c r="CY161" s="34"/>
      <c r="CZ161" s="34"/>
      <c r="DA161" s="34"/>
      <c r="DB161" s="34"/>
      <c r="DC161" s="34"/>
      <c r="DD161" s="34"/>
      <c r="DE161" s="34"/>
      <c r="DF161" s="34"/>
      <c r="DG161" s="34"/>
      <c r="DH161" s="34"/>
    </row>
    <row r="162" spans="30:112" s="36" customFormat="1" ht="12">
      <c r="AD162" s="98"/>
      <c r="AE162" s="98"/>
      <c r="CV162" s="34"/>
      <c r="CW162" s="34"/>
      <c r="CX162" s="34"/>
      <c r="CY162" s="34"/>
      <c r="CZ162" s="34"/>
      <c r="DA162" s="34"/>
      <c r="DB162" s="34"/>
      <c r="DC162" s="34"/>
      <c r="DD162" s="34"/>
      <c r="DE162" s="34"/>
      <c r="DF162" s="34"/>
      <c r="DG162" s="34"/>
      <c r="DH162" s="34"/>
    </row>
    <row r="163" spans="30:112" s="36" customFormat="1" ht="12">
      <c r="AD163" s="98"/>
      <c r="AE163" s="98"/>
      <c r="CV163" s="34"/>
      <c r="CW163" s="34"/>
      <c r="CX163" s="34"/>
      <c r="CY163" s="34"/>
      <c r="CZ163" s="34"/>
      <c r="DA163" s="34"/>
      <c r="DB163" s="34"/>
      <c r="DC163" s="34"/>
      <c r="DD163" s="34"/>
      <c r="DE163" s="34"/>
      <c r="DF163" s="34"/>
      <c r="DG163" s="34"/>
      <c r="DH163" s="34"/>
    </row>
    <row r="164" spans="30:112" s="36" customFormat="1" ht="12">
      <c r="AD164" s="98"/>
      <c r="AE164" s="98"/>
      <c r="CV164" s="34"/>
      <c r="CW164" s="34"/>
      <c r="CX164" s="34"/>
      <c r="CY164" s="34"/>
      <c r="CZ164" s="34"/>
      <c r="DA164" s="34"/>
      <c r="DB164" s="34"/>
      <c r="DC164" s="34"/>
      <c r="DD164" s="34"/>
      <c r="DE164" s="34"/>
      <c r="DF164" s="34"/>
      <c r="DG164" s="34"/>
      <c r="DH164" s="34"/>
    </row>
    <row r="165" spans="30:112" s="36" customFormat="1" ht="12">
      <c r="AD165" s="98"/>
      <c r="AE165" s="98"/>
      <c r="CV165" s="34"/>
      <c r="CW165" s="34"/>
      <c r="CX165" s="34"/>
      <c r="CY165" s="34"/>
      <c r="CZ165" s="34"/>
      <c r="DA165" s="34"/>
      <c r="DB165" s="34"/>
      <c r="DC165" s="34"/>
      <c r="DD165" s="34"/>
      <c r="DE165" s="34"/>
      <c r="DF165" s="34"/>
      <c r="DG165" s="34"/>
      <c r="DH165" s="34"/>
    </row>
    <row r="166" spans="30:112" s="36" customFormat="1" ht="12">
      <c r="AD166" s="98"/>
      <c r="AE166" s="98"/>
      <c r="CV166" s="34"/>
      <c r="CW166" s="34"/>
      <c r="CX166" s="34"/>
      <c r="CY166" s="34"/>
      <c r="CZ166" s="34"/>
      <c r="DA166" s="34"/>
      <c r="DB166" s="34"/>
      <c r="DC166" s="34"/>
      <c r="DD166" s="34"/>
      <c r="DE166" s="34"/>
      <c r="DF166" s="34"/>
      <c r="DG166" s="34"/>
      <c r="DH166" s="34"/>
    </row>
    <row r="167" spans="30:112" s="36" customFormat="1" ht="12">
      <c r="AD167" s="98"/>
      <c r="AE167" s="98"/>
      <c r="CV167" s="34"/>
      <c r="CW167" s="34"/>
      <c r="CX167" s="34"/>
      <c r="CY167" s="34"/>
      <c r="CZ167" s="34"/>
      <c r="DA167" s="34"/>
      <c r="DB167" s="34"/>
      <c r="DC167" s="34"/>
      <c r="DD167" s="34"/>
      <c r="DE167" s="34"/>
      <c r="DF167" s="34"/>
      <c r="DG167" s="34"/>
      <c r="DH167" s="34"/>
    </row>
    <row r="168" spans="30:112" s="36" customFormat="1" ht="12">
      <c r="AD168" s="98"/>
      <c r="AE168" s="98"/>
      <c r="CV168" s="34"/>
      <c r="CW168" s="34"/>
      <c r="CX168" s="34"/>
      <c r="CY168" s="34"/>
      <c r="CZ168" s="34"/>
      <c r="DA168" s="34"/>
      <c r="DB168" s="34"/>
      <c r="DC168" s="34"/>
      <c r="DD168" s="34"/>
      <c r="DE168" s="34"/>
      <c r="DF168" s="34"/>
      <c r="DG168" s="34"/>
      <c r="DH168" s="34"/>
    </row>
    <row r="169" spans="30:112" s="36" customFormat="1" ht="12">
      <c r="AD169" s="98"/>
      <c r="AE169" s="98"/>
      <c r="CV169" s="34"/>
      <c r="CW169" s="34"/>
      <c r="CX169" s="34"/>
      <c r="CY169" s="34"/>
      <c r="CZ169" s="34"/>
      <c r="DA169" s="34"/>
      <c r="DB169" s="34"/>
      <c r="DC169" s="34"/>
      <c r="DD169" s="34"/>
      <c r="DE169" s="34"/>
      <c r="DF169" s="34"/>
      <c r="DG169" s="34"/>
      <c r="DH169" s="34"/>
    </row>
    <row r="170" spans="30:112" s="36" customFormat="1" ht="12">
      <c r="AD170" s="98"/>
      <c r="AE170" s="98"/>
      <c r="CV170" s="34"/>
      <c r="CW170" s="34"/>
      <c r="CX170" s="34"/>
      <c r="CY170" s="34"/>
      <c r="CZ170" s="34"/>
      <c r="DA170" s="34"/>
      <c r="DB170" s="34"/>
      <c r="DC170" s="34"/>
      <c r="DD170" s="34"/>
      <c r="DE170" s="34"/>
      <c r="DF170" s="34"/>
      <c r="DG170" s="34"/>
      <c r="DH170" s="34"/>
    </row>
    <row r="171" spans="30:112" s="36" customFormat="1" ht="12">
      <c r="AD171" s="98"/>
      <c r="AE171" s="98"/>
      <c r="CV171" s="34"/>
      <c r="CW171" s="34"/>
      <c r="CX171" s="34"/>
      <c r="CY171" s="34"/>
      <c r="CZ171" s="34"/>
      <c r="DA171" s="34"/>
      <c r="DB171" s="34"/>
      <c r="DC171" s="34"/>
      <c r="DD171" s="34"/>
      <c r="DE171" s="34"/>
      <c r="DF171" s="34"/>
      <c r="DG171" s="34"/>
      <c r="DH171" s="34"/>
    </row>
    <row r="172" spans="30:112" s="36" customFormat="1" ht="12">
      <c r="AD172" s="98"/>
      <c r="AE172" s="98"/>
      <c r="CV172" s="34"/>
      <c r="CW172" s="34"/>
      <c r="CX172" s="34"/>
      <c r="CY172" s="34"/>
      <c r="CZ172" s="34"/>
      <c r="DA172" s="34"/>
      <c r="DB172" s="34"/>
      <c r="DC172" s="34"/>
      <c r="DD172" s="34"/>
      <c r="DE172" s="34"/>
      <c r="DF172" s="34"/>
      <c r="DG172" s="34"/>
      <c r="DH172" s="34"/>
    </row>
    <row r="173" spans="30:112" s="36" customFormat="1" ht="12">
      <c r="AD173" s="98"/>
      <c r="AE173" s="98"/>
      <c r="CV173" s="34"/>
      <c r="CW173" s="34"/>
      <c r="CX173" s="34"/>
      <c r="CY173" s="34"/>
      <c r="CZ173" s="34"/>
      <c r="DA173" s="34"/>
      <c r="DB173" s="34"/>
      <c r="DC173" s="34"/>
      <c r="DD173" s="34"/>
      <c r="DE173" s="34"/>
      <c r="DF173" s="34"/>
      <c r="DG173" s="34"/>
      <c r="DH173" s="34"/>
    </row>
    <row r="174" spans="30:112" s="36" customFormat="1" ht="12">
      <c r="AD174" s="98"/>
      <c r="AE174" s="98"/>
      <c r="CV174" s="34"/>
      <c r="CW174" s="34"/>
      <c r="CX174" s="34"/>
      <c r="CY174" s="34"/>
      <c r="CZ174" s="34"/>
      <c r="DA174" s="34"/>
      <c r="DB174" s="34"/>
      <c r="DC174" s="34"/>
      <c r="DD174" s="34"/>
      <c r="DE174" s="34"/>
      <c r="DF174" s="34"/>
      <c r="DG174" s="34"/>
      <c r="DH174" s="34"/>
    </row>
    <row r="175" spans="30:112" s="36" customFormat="1" ht="12">
      <c r="AD175" s="98"/>
      <c r="AE175" s="98"/>
      <c r="CV175" s="34"/>
      <c r="CW175" s="34"/>
      <c r="CX175" s="34"/>
      <c r="CY175" s="34"/>
      <c r="CZ175" s="34"/>
      <c r="DA175" s="34"/>
      <c r="DB175" s="34"/>
      <c r="DC175" s="34"/>
      <c r="DD175" s="34"/>
      <c r="DE175" s="34"/>
      <c r="DF175" s="34"/>
      <c r="DG175" s="34"/>
      <c r="DH175" s="34"/>
    </row>
    <row r="176" spans="30:112" s="36" customFormat="1" ht="12">
      <c r="AD176" s="98"/>
      <c r="AE176" s="98"/>
      <c r="CV176" s="34"/>
      <c r="CW176" s="34"/>
      <c r="CX176" s="34"/>
      <c r="CY176" s="34"/>
      <c r="CZ176" s="34"/>
      <c r="DA176" s="34"/>
      <c r="DB176" s="34"/>
      <c r="DC176" s="34"/>
      <c r="DD176" s="34"/>
      <c r="DE176" s="34"/>
      <c r="DF176" s="34"/>
      <c r="DG176" s="34"/>
      <c r="DH176" s="34"/>
    </row>
    <row r="177" spans="30:112" s="36" customFormat="1" ht="12">
      <c r="AD177" s="98"/>
      <c r="AE177" s="98"/>
      <c r="CV177" s="34"/>
      <c r="CW177" s="34"/>
      <c r="CX177" s="34"/>
      <c r="CY177" s="34"/>
      <c r="CZ177" s="34"/>
      <c r="DA177" s="34"/>
      <c r="DB177" s="34"/>
      <c r="DC177" s="34"/>
      <c r="DD177" s="34"/>
      <c r="DE177" s="34"/>
      <c r="DF177" s="34"/>
      <c r="DG177" s="34"/>
      <c r="DH177" s="34"/>
    </row>
    <row r="178" spans="30:112" s="36" customFormat="1" ht="12">
      <c r="AD178" s="98"/>
      <c r="AE178" s="98"/>
      <c r="CV178" s="34"/>
      <c r="CW178" s="34"/>
      <c r="CX178" s="34"/>
      <c r="CY178" s="34"/>
      <c r="CZ178" s="34"/>
      <c r="DA178" s="34"/>
      <c r="DB178" s="34"/>
      <c r="DC178" s="34"/>
      <c r="DD178" s="34"/>
      <c r="DE178" s="34"/>
      <c r="DF178" s="34"/>
      <c r="DG178" s="34"/>
      <c r="DH178" s="34"/>
    </row>
    <row r="179" spans="30:112" s="36" customFormat="1" ht="12">
      <c r="AD179" s="98"/>
      <c r="AE179" s="98"/>
      <c r="CV179" s="34"/>
      <c r="CW179" s="34"/>
      <c r="CX179" s="34"/>
      <c r="CY179" s="34"/>
      <c r="CZ179" s="34"/>
      <c r="DA179" s="34"/>
      <c r="DB179" s="34"/>
      <c r="DC179" s="34"/>
      <c r="DD179" s="34"/>
      <c r="DE179" s="34"/>
      <c r="DF179" s="34"/>
      <c r="DG179" s="34"/>
      <c r="DH179" s="34"/>
    </row>
    <row r="180" spans="30:112" s="36" customFormat="1" ht="12">
      <c r="AD180" s="98"/>
      <c r="AE180" s="98"/>
      <c r="CV180" s="34"/>
      <c r="CW180" s="34"/>
      <c r="CX180" s="34"/>
      <c r="CY180" s="34"/>
      <c r="CZ180" s="34"/>
      <c r="DA180" s="34"/>
      <c r="DB180" s="34"/>
      <c r="DC180" s="34"/>
      <c r="DD180" s="34"/>
      <c r="DE180" s="34"/>
      <c r="DF180" s="34"/>
      <c r="DG180" s="34"/>
      <c r="DH180" s="34"/>
    </row>
    <row r="181" spans="30:112" s="36" customFormat="1" ht="12">
      <c r="AD181" s="98"/>
      <c r="AE181" s="98"/>
      <c r="CV181" s="34"/>
      <c r="CW181" s="34"/>
      <c r="CX181" s="34"/>
      <c r="CY181" s="34"/>
      <c r="CZ181" s="34"/>
      <c r="DA181" s="34"/>
      <c r="DB181" s="34"/>
      <c r="DC181" s="34"/>
      <c r="DD181" s="34"/>
      <c r="DE181" s="34"/>
      <c r="DF181" s="34"/>
      <c r="DG181" s="34"/>
      <c r="DH181" s="34"/>
    </row>
    <row r="182" spans="30:112" s="36" customFormat="1" ht="12">
      <c r="AD182" s="98"/>
      <c r="AE182" s="98"/>
      <c r="CV182" s="34"/>
      <c r="CW182" s="34"/>
      <c r="CX182" s="34"/>
      <c r="CY182" s="34"/>
      <c r="CZ182" s="34"/>
      <c r="DA182" s="34"/>
      <c r="DB182" s="34"/>
      <c r="DC182" s="34"/>
      <c r="DD182" s="34"/>
      <c r="DE182" s="34"/>
      <c r="DF182" s="34"/>
      <c r="DG182" s="34"/>
      <c r="DH182" s="34"/>
    </row>
    <row r="183" spans="30:112" s="36" customFormat="1" ht="12">
      <c r="AD183" s="98"/>
      <c r="AE183" s="98"/>
      <c r="CV183" s="34"/>
      <c r="CW183" s="34"/>
      <c r="CX183" s="34"/>
      <c r="CY183" s="34"/>
      <c r="CZ183" s="34"/>
      <c r="DA183" s="34"/>
      <c r="DB183" s="34"/>
      <c r="DC183" s="34"/>
      <c r="DD183" s="34"/>
      <c r="DE183" s="34"/>
      <c r="DF183" s="34"/>
      <c r="DG183" s="34"/>
      <c r="DH183" s="34"/>
    </row>
    <row r="184" spans="30:112" s="36" customFormat="1" ht="12">
      <c r="AD184" s="98"/>
      <c r="AE184" s="98"/>
      <c r="CV184" s="34"/>
      <c r="CW184" s="34"/>
      <c r="CX184" s="34"/>
      <c r="CY184" s="34"/>
      <c r="CZ184" s="34"/>
      <c r="DA184" s="34"/>
      <c r="DB184" s="34"/>
      <c r="DC184" s="34"/>
      <c r="DD184" s="34"/>
      <c r="DE184" s="34"/>
      <c r="DF184" s="34"/>
      <c r="DG184" s="34"/>
      <c r="DH184" s="34"/>
    </row>
    <row r="185" spans="30:112" s="36" customFormat="1" ht="12">
      <c r="AD185" s="98"/>
      <c r="AE185" s="98"/>
      <c r="CV185" s="34"/>
      <c r="CW185" s="34"/>
      <c r="CX185" s="34"/>
      <c r="CY185" s="34"/>
      <c r="CZ185" s="34"/>
      <c r="DA185" s="34"/>
      <c r="DB185" s="34"/>
      <c r="DC185" s="34"/>
      <c r="DD185" s="34"/>
      <c r="DE185" s="34"/>
      <c r="DF185" s="34"/>
      <c r="DG185" s="34"/>
      <c r="DH185" s="34"/>
    </row>
    <row r="186" spans="30:112" s="36" customFormat="1" ht="12">
      <c r="AD186" s="98"/>
      <c r="AE186" s="98"/>
      <c r="CV186" s="34"/>
      <c r="CW186" s="34"/>
      <c r="CX186" s="34"/>
      <c r="CY186" s="34"/>
      <c r="CZ186" s="34"/>
      <c r="DA186" s="34"/>
      <c r="DB186" s="34"/>
      <c r="DC186" s="34"/>
      <c r="DD186" s="34"/>
      <c r="DE186" s="34"/>
      <c r="DF186" s="34"/>
      <c r="DG186" s="34"/>
      <c r="DH186" s="34"/>
    </row>
    <row r="187" spans="24:112" s="36" customFormat="1" ht="12">
      <c r="X187" s="34"/>
      <c r="Y187" s="34"/>
      <c r="Z187" s="34"/>
      <c r="AA187" s="34"/>
      <c r="AB187" s="34"/>
      <c r="AD187" s="98"/>
      <c r="AE187" s="98"/>
      <c r="CV187" s="34"/>
      <c r="CW187" s="34"/>
      <c r="CX187" s="34"/>
      <c r="CY187" s="34"/>
      <c r="CZ187" s="34"/>
      <c r="DA187" s="34"/>
      <c r="DB187" s="34"/>
      <c r="DC187" s="34"/>
      <c r="DD187" s="34"/>
      <c r="DE187" s="34"/>
      <c r="DF187" s="34"/>
      <c r="DG187" s="34"/>
      <c r="DH187" s="34"/>
    </row>
  </sheetData>
  <sheetProtection/>
  <mergeCells count="19">
    <mergeCell ref="B5:H5"/>
    <mergeCell ref="B12:H12"/>
    <mergeCell ref="I12:M12"/>
    <mergeCell ref="N12:S12"/>
    <mergeCell ref="T12:W12"/>
    <mergeCell ref="AC12:AC14"/>
    <mergeCell ref="H13:L13"/>
    <mergeCell ref="M13:Q13"/>
    <mergeCell ref="R13:S13"/>
    <mergeCell ref="T13:W13"/>
    <mergeCell ref="AD13:AD14"/>
    <mergeCell ref="AE13:AE14"/>
    <mergeCell ref="AF13:AF14"/>
    <mergeCell ref="B13:G13"/>
    <mergeCell ref="B49:G49"/>
    <mergeCell ref="H49:L49"/>
    <mergeCell ref="M49:Q49"/>
    <mergeCell ref="R49:S49"/>
    <mergeCell ref="T49:W49"/>
  </mergeCells>
  <conditionalFormatting sqref="B53:W56 X15:AB46 Z48:AA48">
    <cfRule type="cellIs" priority="4" dxfId="40" operator="equal" stopIfTrue="1">
      <formula>0</formula>
    </cfRule>
  </conditionalFormatting>
  <conditionalFormatting sqref="X51 AB51">
    <cfRule type="expression" priority="5" dxfId="34" stopIfTrue="1">
      <formula>AND(saisie!X51&lt;&gt;0,saisie!X51&lt;&gt;1,saisie!X51&lt;&gt;9,saisie!X51&lt;&gt;"A",saisie!X51&lt;&gt;"a")</formula>
    </cfRule>
  </conditionalFormatting>
  <conditionalFormatting sqref="AD15:AD46">
    <cfRule type="cellIs" priority="6" dxfId="41" operator="greaterThanOrEqual" stopIfTrue="1">
      <formula>0.6</formula>
    </cfRule>
  </conditionalFormatting>
  <conditionalFormatting sqref="AE15:AE46">
    <cfRule type="cellIs" priority="7" dxfId="41" operator="greaterThanOrEqual" stopIfTrue="1">
      <formula>0.6</formula>
    </cfRule>
    <cfRule type="cellIs" priority="8" dxfId="40" operator="equal" stopIfTrue="1">
      <formula>0</formula>
    </cfRule>
  </conditionalFormatting>
  <conditionalFormatting sqref="AF15:AF44">
    <cfRule type="cellIs" priority="9" dxfId="42" operator="between" stopIfTrue="1">
      <formula>0.5</formula>
      <formula>1</formula>
    </cfRule>
    <cfRule type="cellIs" priority="10" dxfId="40" operator="equal" stopIfTrue="1">
      <formula>0</formula>
    </cfRule>
  </conditionalFormatting>
  <conditionalFormatting sqref="B15:W46">
    <cfRule type="cellIs" priority="11" dxfId="41" operator="equal" stopIfTrue="1">
      <formula>1</formula>
    </cfRule>
    <cfRule type="cellIs" priority="12" dxfId="43" operator="between" stopIfTrue="1">
      <formula>1</formula>
      <formula>8</formula>
    </cfRule>
    <cfRule type="cellIs" priority="13" dxfId="42" operator="equal" stopIfTrue="1">
      <formula>9</formula>
    </cfRule>
  </conditionalFormatting>
  <conditionalFormatting sqref="B52:W52 B57:W57">
    <cfRule type="cellIs" priority="14" dxfId="25" operator="between" stopIfTrue="1">
      <formula>0.6</formula>
      <formula>1</formula>
    </cfRule>
    <cfRule type="cellIs" priority="15" dxfId="40" operator="equal" stopIfTrue="1">
      <formula>0</formula>
    </cfRule>
  </conditionalFormatting>
  <conditionalFormatting sqref="B58:W58">
    <cfRule type="cellIs" priority="16" dxfId="23" operator="between" stopIfTrue="1">
      <formula>0.5</formula>
      <formula>1</formula>
    </cfRule>
    <cfRule type="cellIs" priority="17" dxfId="40" operator="equal" stopIfTrue="1">
      <formula>0</formula>
    </cfRule>
  </conditionalFormatting>
  <conditionalFormatting sqref="X48">
    <cfRule type="cellIs" priority="3" dxfId="40" operator="equal" stopIfTrue="1">
      <formula>0</formula>
    </cfRule>
  </conditionalFormatting>
  <conditionalFormatting sqref="Y48">
    <cfRule type="cellIs" priority="2" dxfId="40" operator="equal" stopIfTrue="1">
      <formula>0</formula>
    </cfRule>
  </conditionalFormatting>
  <conditionalFormatting sqref="AB48">
    <cfRule type="cellIs" priority="1" dxfId="40" operator="equal" stopIfTrue="1">
      <formula>0</formula>
    </cfRule>
  </conditionalFormatting>
  <dataValidations count="7">
    <dataValidation operator="equal" allowBlank="1" showInputMessage="1" prompt="3- b) Écoute à nouveau la conversation et réponds en français par un mot." sqref="C14 C50">
      <formula1>0</formula1>
    </dataValidation>
    <dataValidation operator="equal" allowBlank="1" showInputMessage="1" prompt="4- Écoute cette histoire. Pour chaque phrase, coche la bonne réponse." sqref="D14 D50">
      <formula1>0</formula1>
    </dataValidation>
    <dataValidation operator="equal" allowBlank="1" showInputMessage="1" prompt="5- Écoute la question et sa réponse puis illustre la réponse par un dessin." sqref="E14 E50">
      <formula1>0</formula1>
    </dataValidation>
    <dataValidation operator="equal" allowBlank="1" showInputMessage="1" prompt="6- Écris sous chaque image le numéro qui correspond." sqref="F14 F50">
      <formula1>0</formula1>
    </dataValidation>
    <dataValidation operator="equal" allowBlank="1" showInputMessage="1" prompt="7- Écris les nombres entendus en chiffres." sqref="G14 G50">
      <formula1>0</formula1>
    </dataValidation>
    <dataValidation operator="equal" allowBlank="1" showInputMessage="1" promptTitle="Onglet &quot;saisie&quot;" prompt="Dans cet onglet vous saisissez les résultats de l'évaluation selon les critères 1, 2, 9, 0 ou A à partir de l'élève 1 cellule B15." sqref="A13">
      <formula1>0</formula1>
    </dataValidation>
    <dataValidation type="list" operator="equal" showDropDown="1" showErrorMessage="1" promptTitle="Attention !" prompt="seulement 1, 2, 9, 0 ou A pour absent" sqref="B15:W46">
      <formula1>"1,2,9,0,A"</formula1>
    </dataValidation>
  </dataValidations>
  <printOptions horizontalCentered="1"/>
  <pageMargins left="0.5902777777777778" right="0.5902777777777778" top="0.5902777777777778" bottom="0.5902777777777778" header="0.5118055555555555" footer="0.5118055555555555"/>
  <pageSetup firstPageNumber="1" useFirstPageNumber="1"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B1:Q33"/>
  <sheetViews>
    <sheetView showGridLines="0" zoomScaleSheetLayoutView="90" workbookViewId="0" topLeftCell="A1">
      <pane ySplit="1" topLeftCell="BM2" activePane="bottomLeft" state="frozen"/>
      <selection pane="topLeft" activeCell="B1" sqref="B1"/>
      <selection pane="bottomLeft" activeCell="D1" sqref="D1"/>
    </sheetView>
  </sheetViews>
  <sheetFormatPr defaultColWidth="11.57421875" defaultRowHeight="12.75"/>
  <cols>
    <col min="1" max="2" width="8.7109375" style="0" customWidth="1"/>
    <col min="3" max="3" width="38.421875" style="99" customWidth="1"/>
    <col min="4" max="4" width="28.8515625" style="100" customWidth="1"/>
    <col min="5" max="5" width="58.421875" style="100" customWidth="1"/>
    <col min="6" max="6" width="3.28125" style="101" customWidth="1"/>
    <col min="7" max="7" width="7.7109375" style="100" customWidth="1"/>
    <col min="8" max="8" width="12.421875" style="0" customWidth="1"/>
    <col min="9" max="16" width="11.421875" style="102" customWidth="1"/>
    <col min="17" max="16384" width="11.421875" style="0" customWidth="1"/>
  </cols>
  <sheetData>
    <row r="1" spans="2:7" ht="49.5" customHeight="1">
      <c r="B1" s="5" t="s">
        <v>0</v>
      </c>
      <c r="C1" s="103">
        <f>à_lire!D4</f>
        <v>42095</v>
      </c>
      <c r="D1" s="104" t="s">
        <v>10</v>
      </c>
      <c r="E1" s="105"/>
      <c r="F1" s="106"/>
      <c r="G1" s="107"/>
    </row>
    <row r="2" spans="2:8" ht="49.5" customHeight="1">
      <c r="B2" s="217" t="s">
        <v>40</v>
      </c>
      <c r="C2" s="217"/>
      <c r="D2" s="218" t="str">
        <f>D1</f>
        <v>Elève26</v>
      </c>
      <c r="E2" s="218"/>
      <c r="F2" s="219">
        <f>à_lire!D4</f>
        <v>42095</v>
      </c>
      <c r="G2" s="219"/>
      <c r="H2" s="219"/>
    </row>
    <row r="3" spans="2:12" ht="27.75" customHeight="1">
      <c r="B3" s="108"/>
      <c r="C3" s="220" t="s">
        <v>112</v>
      </c>
      <c r="D3" s="220" t="s">
        <v>41</v>
      </c>
      <c r="E3" s="109" t="s">
        <v>42</v>
      </c>
      <c r="F3" s="172" t="s">
        <v>43</v>
      </c>
      <c r="G3" s="172" t="s">
        <v>137</v>
      </c>
      <c r="H3" s="110" t="s">
        <v>44</v>
      </c>
      <c r="L3" s="111"/>
    </row>
    <row r="4" spans="2:12" ht="27.75" customHeight="1">
      <c r="B4" s="216" t="s">
        <v>45</v>
      </c>
      <c r="C4" s="210" t="s">
        <v>111</v>
      </c>
      <c r="D4" s="211"/>
      <c r="E4" s="168" t="s">
        <v>118</v>
      </c>
      <c r="F4" s="170">
        <v>1</v>
      </c>
      <c r="G4" s="171" t="e">
        <f>VLOOKUP($D$1,saisie!$A$15:$W$46,2,0)</f>
        <v>#N/A</v>
      </c>
      <c r="H4" s="212" t="e">
        <f>VLOOKUP($D$1,saisie!$A$15:$AB$46,24,0)</f>
        <v>#N/A</v>
      </c>
      <c r="L4" s="111"/>
    </row>
    <row r="5" spans="2:12" ht="27.75" customHeight="1">
      <c r="B5" s="216"/>
      <c r="C5" s="210"/>
      <c r="D5" s="211"/>
      <c r="E5" s="169" t="s">
        <v>119</v>
      </c>
      <c r="F5" s="222">
        <v>2</v>
      </c>
      <c r="G5" s="221" t="e">
        <f>VLOOKUP($D$1,saisie!$A$15:$W$46,3,0)</f>
        <v>#N/A</v>
      </c>
      <c r="H5" s="212"/>
      <c r="L5" s="111"/>
    </row>
    <row r="6" spans="2:12" ht="27.75" customHeight="1">
      <c r="B6" s="216"/>
      <c r="C6" s="210"/>
      <c r="D6" s="211"/>
      <c r="E6" s="169" t="s">
        <v>120</v>
      </c>
      <c r="F6" s="223"/>
      <c r="G6" s="221"/>
      <c r="H6" s="212"/>
      <c r="L6" s="111"/>
    </row>
    <row r="7" spans="2:12" ht="27.75" customHeight="1">
      <c r="B7" s="216"/>
      <c r="C7" s="210"/>
      <c r="D7" s="211"/>
      <c r="E7" s="169" t="s">
        <v>121</v>
      </c>
      <c r="F7" s="170">
        <v>3</v>
      </c>
      <c r="G7" s="171" t="e">
        <f>VLOOKUP($D$1,saisie!$A$15:$W$46,4,0)</f>
        <v>#N/A</v>
      </c>
      <c r="H7" s="212"/>
      <c r="L7" s="111"/>
    </row>
    <row r="8" spans="2:12" ht="27.75" customHeight="1">
      <c r="B8" s="216"/>
      <c r="C8" s="210"/>
      <c r="D8" s="211"/>
      <c r="E8" s="169" t="s">
        <v>122</v>
      </c>
      <c r="F8" s="170">
        <v>4</v>
      </c>
      <c r="G8" s="171" t="e">
        <f>VLOOKUP($D$1,saisie!$A$15:$W$46,5,0)</f>
        <v>#N/A</v>
      </c>
      <c r="H8" s="212"/>
      <c r="L8" s="111"/>
    </row>
    <row r="9" spans="2:12" ht="27.75" customHeight="1">
      <c r="B9" s="216"/>
      <c r="C9" s="210"/>
      <c r="D9" s="211"/>
      <c r="E9" s="169" t="s">
        <v>123</v>
      </c>
      <c r="F9" s="170">
        <v>5</v>
      </c>
      <c r="G9" s="171" t="e">
        <f>VLOOKUP($D$1,saisie!$A$15:$W$46,6,0)</f>
        <v>#N/A</v>
      </c>
      <c r="H9" s="212"/>
      <c r="L9" s="111"/>
    </row>
    <row r="10" spans="2:12" ht="27.75" customHeight="1">
      <c r="B10" s="216" t="s">
        <v>46</v>
      </c>
      <c r="C10" s="210"/>
      <c r="D10" s="211"/>
      <c r="E10" s="169" t="s">
        <v>124</v>
      </c>
      <c r="F10" s="170">
        <v>6</v>
      </c>
      <c r="G10" s="171" t="e">
        <f>VLOOKUP($D$1,saisie!$A$15:$W$46,7,0)</f>
        <v>#N/A</v>
      </c>
      <c r="H10" s="212"/>
      <c r="L10" s="111"/>
    </row>
    <row r="11" spans="2:12" ht="27.75" customHeight="1">
      <c r="B11" s="213" t="s">
        <v>17</v>
      </c>
      <c r="C11" s="210" t="s">
        <v>110</v>
      </c>
      <c r="D11" s="211"/>
      <c r="E11" s="169" t="s">
        <v>125</v>
      </c>
      <c r="F11" s="170">
        <v>7</v>
      </c>
      <c r="G11" s="171" t="e">
        <f>VLOOKUP($D$1,saisie!$A$15:$W$46,8,0)</f>
        <v>#N/A</v>
      </c>
      <c r="H11" s="212" t="e">
        <f>VLOOKUP($D$1,saisie!$A$15:$AB$46,25,0)</f>
        <v>#N/A</v>
      </c>
      <c r="L11" s="111"/>
    </row>
    <row r="12" spans="2:12" ht="27.75" customHeight="1">
      <c r="B12" s="213"/>
      <c r="C12" s="210"/>
      <c r="D12" s="211"/>
      <c r="E12" s="169" t="s">
        <v>126</v>
      </c>
      <c r="F12" s="170">
        <v>8</v>
      </c>
      <c r="G12" s="171" t="e">
        <f>VLOOKUP($D$1,saisie!$A$15:$W$46,9,0)</f>
        <v>#N/A</v>
      </c>
      <c r="H12" s="212"/>
      <c r="L12" s="111"/>
    </row>
    <row r="13" spans="2:12" ht="27.75" customHeight="1">
      <c r="B13" s="213"/>
      <c r="C13" s="210"/>
      <c r="D13" s="211"/>
      <c r="E13" s="169" t="s">
        <v>127</v>
      </c>
      <c r="F13" s="170">
        <v>9</v>
      </c>
      <c r="G13" s="171" t="e">
        <f>VLOOKUP($D$1,saisie!$A$15:$W$46,10,0)</f>
        <v>#N/A</v>
      </c>
      <c r="H13" s="212"/>
      <c r="L13" s="111"/>
    </row>
    <row r="14" spans="2:12" ht="39.75" customHeight="1">
      <c r="B14" s="213"/>
      <c r="C14" s="210"/>
      <c r="D14" s="211"/>
      <c r="E14" s="169" t="s">
        <v>128</v>
      </c>
      <c r="F14" s="170">
        <v>10</v>
      </c>
      <c r="G14" s="171" t="e">
        <f>VLOOKUP($D$1,saisie!$A$15:$W$46,11,0)</f>
        <v>#N/A</v>
      </c>
      <c r="H14" s="212"/>
      <c r="L14" s="111"/>
    </row>
    <row r="15" spans="2:12" ht="27.75" customHeight="1">
      <c r="B15" s="213"/>
      <c r="C15" s="210"/>
      <c r="D15" s="211"/>
      <c r="E15" s="169" t="s">
        <v>129</v>
      </c>
      <c r="F15" s="170">
        <v>11</v>
      </c>
      <c r="G15" s="171" t="e">
        <f>VLOOKUP($D$1,saisie!$A$15:$W$46,12,0)</f>
        <v>#N/A</v>
      </c>
      <c r="H15" s="212">
        <f>COUNTIF(G15:G20,1)/COUNTIF(G15:G20,"&lt;&gt;A")</f>
        <v>0</v>
      </c>
      <c r="L15" s="111"/>
    </row>
    <row r="16" spans="2:12" ht="27.75" customHeight="1">
      <c r="B16" s="216" t="s">
        <v>18</v>
      </c>
      <c r="C16" s="210" t="s">
        <v>109</v>
      </c>
      <c r="D16" s="211"/>
      <c r="E16" s="169" t="s">
        <v>130</v>
      </c>
      <c r="F16" s="170">
        <v>12</v>
      </c>
      <c r="G16" s="171" t="e">
        <f>VLOOKUP($D$1,saisie!$A$15:$W$46,13,0)</f>
        <v>#N/A</v>
      </c>
      <c r="H16" s="212" t="e">
        <f>VLOOKUP($D$1,saisie!$A$15:$AB$46,26,0)</f>
        <v>#N/A</v>
      </c>
      <c r="L16" s="111"/>
    </row>
    <row r="17" spans="2:12" ht="27.75" customHeight="1">
      <c r="B17" s="216"/>
      <c r="C17" s="210"/>
      <c r="D17" s="211"/>
      <c r="E17" s="169" t="s">
        <v>131</v>
      </c>
      <c r="F17" s="170">
        <v>13</v>
      </c>
      <c r="G17" s="171" t="e">
        <f>VLOOKUP($D$1,saisie!$A$15:$W$46,14,0)</f>
        <v>#N/A</v>
      </c>
      <c r="H17" s="212"/>
      <c r="L17" s="111"/>
    </row>
    <row r="18" spans="2:12" ht="27.75" customHeight="1">
      <c r="B18" s="216"/>
      <c r="C18" s="210"/>
      <c r="D18" s="211"/>
      <c r="E18" s="169" t="s">
        <v>132</v>
      </c>
      <c r="F18" s="170">
        <v>14</v>
      </c>
      <c r="G18" s="171" t="e">
        <f>VLOOKUP($D$1,saisie!$A$15:$W$46,15,0)</f>
        <v>#N/A</v>
      </c>
      <c r="H18" s="212"/>
      <c r="L18" s="111"/>
    </row>
    <row r="19" spans="2:12" ht="36.75" customHeight="1">
      <c r="B19" s="216"/>
      <c r="C19" s="210"/>
      <c r="D19" s="211"/>
      <c r="E19" s="169" t="s">
        <v>133</v>
      </c>
      <c r="F19" s="170">
        <v>15</v>
      </c>
      <c r="G19" s="171" t="e">
        <f>VLOOKUP($D$1,saisie!$A$15:$W$46,16,0)</f>
        <v>#N/A</v>
      </c>
      <c r="H19" s="212"/>
      <c r="L19" s="111"/>
    </row>
    <row r="20" spans="2:12" ht="48" customHeight="1">
      <c r="B20" s="216"/>
      <c r="C20" s="210"/>
      <c r="D20" s="211"/>
      <c r="E20" s="169" t="s">
        <v>134</v>
      </c>
      <c r="F20" s="170">
        <v>16</v>
      </c>
      <c r="G20" s="171" t="e">
        <f>VLOOKUP($D$1,saisie!$A$15:$W$46,17,0)</f>
        <v>#N/A</v>
      </c>
      <c r="H20" s="212"/>
      <c r="L20" s="111"/>
    </row>
    <row r="21" spans="2:12" ht="51" customHeight="1">
      <c r="B21" s="209" t="s">
        <v>19</v>
      </c>
      <c r="C21" s="210" t="s">
        <v>108</v>
      </c>
      <c r="D21" s="211"/>
      <c r="E21" s="169" t="s">
        <v>135</v>
      </c>
      <c r="F21" s="170">
        <v>17</v>
      </c>
      <c r="G21" s="171" t="e">
        <f>VLOOKUP($D$1,saisie!$A$15:$W$46,18,0)</f>
        <v>#N/A</v>
      </c>
      <c r="H21" s="212" t="e">
        <f>VLOOKUP($D$1,saisie!$A$15:$AB$46,27,0)</f>
        <v>#N/A</v>
      </c>
      <c r="L21" s="111"/>
    </row>
    <row r="22" spans="2:12" ht="66.75" customHeight="1">
      <c r="B22" s="209"/>
      <c r="C22" s="210"/>
      <c r="D22" s="211"/>
      <c r="E22" s="169" t="s">
        <v>136</v>
      </c>
      <c r="F22" s="170">
        <v>18</v>
      </c>
      <c r="G22" s="171" t="e">
        <f>VLOOKUP($D$1,saisie!$A$15:$W$46,19,0)</f>
        <v>#N/A</v>
      </c>
      <c r="H22" s="212"/>
      <c r="L22" s="111"/>
    </row>
    <row r="23" spans="2:12" ht="36.75" customHeight="1">
      <c r="B23" s="213" t="s">
        <v>20</v>
      </c>
      <c r="C23" s="214" t="s">
        <v>113</v>
      </c>
      <c r="D23" s="214"/>
      <c r="E23" s="169" t="s">
        <v>114</v>
      </c>
      <c r="F23" s="170">
        <v>19</v>
      </c>
      <c r="G23" s="171" t="e">
        <f>VLOOKUP($D$1,saisie!$A$15:$W$46,20,0)</f>
        <v>#N/A</v>
      </c>
      <c r="H23" s="212" t="e">
        <f>VLOOKUP($D$1,saisie!$A$15:$AB$46,28,0)</f>
        <v>#N/A</v>
      </c>
      <c r="J23" s="112"/>
      <c r="K23" s="113"/>
      <c r="L23" s="111"/>
    </row>
    <row r="24" spans="2:12" ht="36.75" customHeight="1">
      <c r="B24" s="213"/>
      <c r="C24" s="215"/>
      <c r="D24" s="215"/>
      <c r="E24" s="169" t="s">
        <v>115</v>
      </c>
      <c r="F24" s="170">
        <v>20</v>
      </c>
      <c r="G24" s="171" t="e">
        <f>VLOOKUP($D$1,saisie!$A$15:$W$46,21,0)</f>
        <v>#N/A</v>
      </c>
      <c r="H24" s="212"/>
      <c r="J24" s="112"/>
      <c r="K24" s="113"/>
      <c r="L24" s="111"/>
    </row>
    <row r="25" spans="2:12" ht="36.75" customHeight="1">
      <c r="B25" s="213"/>
      <c r="C25" s="215"/>
      <c r="D25" s="215"/>
      <c r="E25" s="169" t="s">
        <v>116</v>
      </c>
      <c r="F25" s="170">
        <v>21</v>
      </c>
      <c r="G25" s="171" t="e">
        <f>VLOOKUP($D$1,saisie!$A$15:$W$46,22,0)</f>
        <v>#N/A</v>
      </c>
      <c r="H25" s="212"/>
      <c r="L25" s="111"/>
    </row>
    <row r="26" spans="2:12" ht="36.75" customHeight="1">
      <c r="B26" s="163"/>
      <c r="C26" s="215"/>
      <c r="D26" s="215"/>
      <c r="E26" s="169" t="s">
        <v>117</v>
      </c>
      <c r="F26" s="170">
        <v>22</v>
      </c>
      <c r="G26" s="171" t="e">
        <f>VLOOKUP($D$1,saisie!$A$15:$W$46,23,0)</f>
        <v>#N/A</v>
      </c>
      <c r="H26" s="212"/>
      <c r="L26" s="111"/>
    </row>
    <row r="27" spans="3:12" ht="24">
      <c r="C27" s="100"/>
      <c r="E27" s="100" t="s">
        <v>47</v>
      </c>
      <c r="L27" s="111"/>
    </row>
    <row r="28" spans="3:13" ht="16.5">
      <c r="C28" s="100"/>
      <c r="I28" s="111"/>
      <c r="J28" s="111"/>
      <c r="K28" s="111"/>
      <c r="L28" s="111"/>
      <c r="M28" s="111"/>
    </row>
    <row r="29" spans="3:15" ht="16.5">
      <c r="C29" s="100"/>
      <c r="I29" s="111"/>
      <c r="J29" s="111"/>
      <c r="K29" s="111"/>
      <c r="L29" s="111"/>
      <c r="M29" s="111"/>
      <c r="N29" s="114"/>
      <c r="O29" s="114"/>
    </row>
    <row r="30" spans="9:17" ht="16.5">
      <c r="I30" s="111"/>
      <c r="J30" s="111"/>
      <c r="K30" s="111"/>
      <c r="L30" s="111"/>
      <c r="M30" s="111"/>
      <c r="N30" s="114"/>
      <c r="O30" s="114"/>
      <c r="P30" s="111"/>
      <c r="Q30" s="115"/>
    </row>
    <row r="31" spans="9:17" ht="16.5">
      <c r="I31" s="111" t="s">
        <v>48</v>
      </c>
      <c r="J31" s="111" t="s">
        <v>26</v>
      </c>
      <c r="K31" s="111" t="s">
        <v>27</v>
      </c>
      <c r="L31" s="111" t="s">
        <v>49</v>
      </c>
      <c r="M31" s="111" t="s">
        <v>50</v>
      </c>
      <c r="N31"/>
      <c r="O31"/>
      <c r="P31" s="111" t="s">
        <v>51</v>
      </c>
      <c r="Q31" s="115"/>
    </row>
    <row r="32" spans="9:17" ht="16.5">
      <c r="I32" s="116" t="e">
        <f>H4</f>
        <v>#N/A</v>
      </c>
      <c r="J32" s="116" t="e">
        <f>H11</f>
        <v>#N/A</v>
      </c>
      <c r="K32" s="116" t="e">
        <f>H16</f>
        <v>#N/A</v>
      </c>
      <c r="L32" s="116" t="e">
        <f>H21</f>
        <v>#N/A</v>
      </c>
      <c r="M32" s="117" t="e">
        <f>H23</f>
        <v>#N/A</v>
      </c>
      <c r="N32"/>
      <c r="O32"/>
      <c r="P32" s="116">
        <f>COUNTIF(G4:G25,1)/COUNTIF(G4:G25,"&lt;&gt;A")</f>
        <v>0</v>
      </c>
      <c r="Q32" s="115"/>
    </row>
    <row r="33" spans="9:17" ht="16.5">
      <c r="I33" s="111"/>
      <c r="J33" s="111"/>
      <c r="K33" s="111"/>
      <c r="L33" s="111"/>
      <c r="M33" s="111"/>
      <c r="N33" s="111"/>
      <c r="O33" s="111"/>
      <c r="P33" s="111"/>
      <c r="Q33" s="115"/>
    </row>
  </sheetData>
  <sheetProtection/>
  <mergeCells count="21">
    <mergeCell ref="B2:C2"/>
    <mergeCell ref="D2:E2"/>
    <mergeCell ref="F2:H2"/>
    <mergeCell ref="C3:D3"/>
    <mergeCell ref="B4:B10"/>
    <mergeCell ref="C4:D10"/>
    <mergeCell ref="H4:H10"/>
    <mergeCell ref="G5:G6"/>
    <mergeCell ref="F5:F6"/>
    <mergeCell ref="B11:B15"/>
    <mergeCell ref="C11:D15"/>
    <mergeCell ref="H11:H15"/>
    <mergeCell ref="B16:B20"/>
    <mergeCell ref="C16:D20"/>
    <mergeCell ref="H16:H20"/>
    <mergeCell ref="B21:B22"/>
    <mergeCell ref="C21:D22"/>
    <mergeCell ref="H21:H22"/>
    <mergeCell ref="B23:B25"/>
    <mergeCell ref="C23:D26"/>
    <mergeCell ref="H23:H26"/>
  </mergeCells>
  <conditionalFormatting sqref="G4:G5 G7:G26">
    <cfRule type="cellIs" priority="4" dxfId="41" operator="equal" stopIfTrue="1">
      <formula>1</formula>
    </cfRule>
    <cfRule type="cellIs" priority="5" dxfId="43" operator="between" stopIfTrue="1">
      <formula>1</formula>
      <formula>8</formula>
    </cfRule>
    <cfRule type="cellIs" priority="6" dxfId="42" operator="equal" stopIfTrue="1">
      <formula>9</formula>
    </cfRule>
  </conditionalFormatting>
  <conditionalFormatting sqref="H4:H23">
    <cfRule type="cellIs" priority="7" dxfId="41" operator="greaterThanOrEqual" stopIfTrue="1">
      <formula>0.6</formula>
    </cfRule>
    <cfRule type="cellIs" priority="8" dxfId="42" operator="lessThan" stopIfTrue="1">
      <formula>0.4</formula>
    </cfRule>
    <cfRule type="cellIs" priority="9" dxfId="40" operator="equal" stopIfTrue="1">
      <formula>0</formula>
    </cfRule>
  </conditionalFormatting>
  <dataValidations count="3">
    <dataValidation type="list" operator="equal" allowBlank="1" sqref="D1">
      <formula1>eleves</formula1>
    </dataValidation>
    <dataValidation operator="equal" allowBlank="1" showInputMessage="1" promptTitle="Onglet &quot;Synthèse individuelle&quot;" prompt="Dans cet onglet vous sélectionnez uniquement le nom de l'élève en D1 (menu déroulant)." sqref="B1">
      <formula1>0</formula1>
    </dataValidation>
    <dataValidation operator="equal" promptTitle="Attention !" prompt="seulement 1, 2, 9, 0 ou A pour absent" sqref="G4:G5 G7:G26">
      <formula1>0</formula1>
    </dataValidation>
  </dataValidations>
  <printOptions/>
  <pageMargins left="0.5902777777777778" right="0.5902777777777778" top="0.5902777777777778" bottom="0.5902777777777778" header="0.5118055555555555" footer="0.5118055555555555"/>
  <pageSetup firstPageNumber="1" useFirstPageNumber="1" fitToHeight="1" fitToWidth="1" horizontalDpi="300" verticalDpi="300" orientation="portrait" paperSize="9" scale="53"/>
  <drawing r:id="rId1"/>
</worksheet>
</file>

<file path=xl/worksheets/sheet4.xml><?xml version="1.0" encoding="utf-8"?>
<worksheet xmlns="http://schemas.openxmlformats.org/spreadsheetml/2006/main" xmlns:r="http://schemas.openxmlformats.org/officeDocument/2006/relationships">
  <sheetPr>
    <pageSetUpPr fitToPage="1"/>
  </sheetPr>
  <dimension ref="B1:Q33"/>
  <sheetViews>
    <sheetView showGridLines="0" zoomScaleSheetLayoutView="90" workbookViewId="0" topLeftCell="A1">
      <pane ySplit="1" topLeftCell="BM2" activePane="bottomLeft" state="frozen"/>
      <selection pane="topLeft" activeCell="B1" sqref="B1"/>
      <selection pane="bottomLeft" activeCell="D1" sqref="D1:E1"/>
    </sheetView>
  </sheetViews>
  <sheetFormatPr defaultColWidth="11.57421875" defaultRowHeight="12.75"/>
  <cols>
    <col min="1" max="2" width="8.7109375" style="0" customWidth="1"/>
    <col min="3" max="3" width="38.421875" style="99" customWidth="1"/>
    <col min="4" max="4" width="28.8515625" style="100" customWidth="1"/>
    <col min="5" max="5" width="58.421875" style="100" customWidth="1"/>
    <col min="6" max="6" width="3.28125" style="101" customWidth="1"/>
    <col min="7" max="7" width="7.7109375" style="100" customWidth="1"/>
    <col min="8" max="8" width="12.421875" style="0" customWidth="1"/>
    <col min="9" max="16" width="11.421875" style="102" customWidth="1"/>
    <col min="17" max="16384" width="11.421875" style="0" customWidth="1"/>
  </cols>
  <sheetData>
    <row r="1" spans="2:7" ht="49.5" customHeight="1">
      <c r="B1" s="5" t="s">
        <v>0</v>
      </c>
      <c r="C1" s="103">
        <f>à_lire!D4</f>
        <v>42095</v>
      </c>
      <c r="D1" s="224" t="str">
        <f>à_lire!D14&amp;" "&amp;à_lire!D8</f>
        <v>CM2A ALBERT CAMUS</v>
      </c>
      <c r="E1" s="225"/>
      <c r="F1" s="106"/>
      <c r="G1" s="107"/>
    </row>
    <row r="2" spans="2:8" ht="49.5" customHeight="1">
      <c r="B2" s="217" t="s">
        <v>40</v>
      </c>
      <c r="C2" s="217"/>
      <c r="D2" s="218" t="str">
        <f>D1</f>
        <v>CM2A ALBERT CAMUS</v>
      </c>
      <c r="E2" s="218"/>
      <c r="F2" s="219">
        <f>à_lire!D4</f>
        <v>42095</v>
      </c>
      <c r="G2" s="219"/>
      <c r="H2" s="219"/>
    </row>
    <row r="3" spans="2:12" ht="27.75" customHeight="1">
      <c r="B3" s="108"/>
      <c r="C3" s="220" t="s">
        <v>112</v>
      </c>
      <c r="D3" s="220" t="s">
        <v>41</v>
      </c>
      <c r="E3" s="109" t="s">
        <v>42</v>
      </c>
      <c r="F3" s="172" t="s">
        <v>43</v>
      </c>
      <c r="G3" s="172" t="s">
        <v>137</v>
      </c>
      <c r="H3" s="110" t="s">
        <v>44</v>
      </c>
      <c r="L3" s="111"/>
    </row>
    <row r="4" spans="2:12" ht="27.75" customHeight="1">
      <c r="B4" s="216" t="s">
        <v>45</v>
      </c>
      <c r="C4" s="210" t="s">
        <v>111</v>
      </c>
      <c r="D4" s="211"/>
      <c r="E4" s="168" t="s">
        <v>118</v>
      </c>
      <c r="F4" s="170">
        <v>1</v>
      </c>
      <c r="G4" s="176">
        <f>saisie!B57</f>
        <v>0.9583333333333334</v>
      </c>
      <c r="H4" s="212">
        <f>saisie!X48</f>
        <v>0.8421052631578947</v>
      </c>
      <c r="L4" s="111"/>
    </row>
    <row r="5" spans="2:12" ht="27.75" customHeight="1">
      <c r="B5" s="216"/>
      <c r="C5" s="210"/>
      <c r="D5" s="211"/>
      <c r="E5" s="169" t="s">
        <v>119</v>
      </c>
      <c r="F5" s="222">
        <v>2</v>
      </c>
      <c r="G5" s="226">
        <f>saisie!C57</f>
        <v>0.9615384615384616</v>
      </c>
      <c r="H5" s="212"/>
      <c r="L5" s="111"/>
    </row>
    <row r="6" spans="2:12" ht="27.75" customHeight="1">
      <c r="B6" s="216"/>
      <c r="C6" s="210"/>
      <c r="D6" s="211"/>
      <c r="E6" s="169" t="s">
        <v>120</v>
      </c>
      <c r="F6" s="223"/>
      <c r="G6" s="226"/>
      <c r="H6" s="212"/>
      <c r="L6" s="111"/>
    </row>
    <row r="7" spans="2:12" ht="27.75" customHeight="1">
      <c r="B7" s="216"/>
      <c r="C7" s="210"/>
      <c r="D7" s="211"/>
      <c r="E7" s="169" t="s">
        <v>121</v>
      </c>
      <c r="F7" s="170">
        <v>3</v>
      </c>
      <c r="G7" s="176">
        <f>saisie!D57</f>
        <v>0.8</v>
      </c>
      <c r="H7" s="212"/>
      <c r="I7" s="175"/>
      <c r="L7" s="111"/>
    </row>
    <row r="8" spans="2:12" ht="27.75" customHeight="1">
      <c r="B8" s="216"/>
      <c r="C8" s="210"/>
      <c r="D8" s="211"/>
      <c r="E8" s="169" t="s">
        <v>122</v>
      </c>
      <c r="F8" s="170">
        <v>4</v>
      </c>
      <c r="G8" s="176">
        <f>saisie!E57</f>
        <v>0.7692307692307693</v>
      </c>
      <c r="H8" s="212"/>
      <c r="L8" s="111"/>
    </row>
    <row r="9" spans="2:12" ht="27.75" customHeight="1">
      <c r="B9" s="216"/>
      <c r="C9" s="210"/>
      <c r="D9" s="211"/>
      <c r="E9" s="169" t="s">
        <v>123</v>
      </c>
      <c r="F9" s="170">
        <v>5</v>
      </c>
      <c r="G9" s="176">
        <f>saisie!F57</f>
        <v>0.8</v>
      </c>
      <c r="H9" s="212"/>
      <c r="L9" s="111"/>
    </row>
    <row r="10" spans="2:12" ht="27.75" customHeight="1">
      <c r="B10" s="216" t="s">
        <v>46</v>
      </c>
      <c r="C10" s="210"/>
      <c r="D10" s="211"/>
      <c r="E10" s="169" t="s">
        <v>124</v>
      </c>
      <c r="F10" s="170">
        <v>6</v>
      </c>
      <c r="G10" s="176">
        <f>saisie!G57</f>
        <v>0.7692307692307693</v>
      </c>
      <c r="H10" s="212"/>
      <c r="L10" s="111"/>
    </row>
    <row r="11" spans="2:12" ht="27.75" customHeight="1">
      <c r="B11" s="213" t="s">
        <v>17</v>
      </c>
      <c r="C11" s="210" t="s">
        <v>110</v>
      </c>
      <c r="D11" s="211"/>
      <c r="E11" s="169" t="s">
        <v>125</v>
      </c>
      <c r="F11" s="170">
        <v>7</v>
      </c>
      <c r="G11" s="176">
        <f>saisie!H57</f>
        <v>0.76</v>
      </c>
      <c r="H11" s="212">
        <f>saisie!Y48</f>
        <v>0.8125</v>
      </c>
      <c r="L11" s="111"/>
    </row>
    <row r="12" spans="2:12" ht="27.75" customHeight="1">
      <c r="B12" s="213"/>
      <c r="C12" s="210"/>
      <c r="D12" s="211"/>
      <c r="E12" s="169" t="s">
        <v>126</v>
      </c>
      <c r="F12" s="170">
        <v>8</v>
      </c>
      <c r="G12" s="176">
        <f>saisie!I57</f>
        <v>0.5769230769230769</v>
      </c>
      <c r="H12" s="212"/>
      <c r="L12" s="111"/>
    </row>
    <row r="13" spans="2:12" ht="27.75" customHeight="1">
      <c r="B13" s="213"/>
      <c r="C13" s="210"/>
      <c r="D13" s="211"/>
      <c r="E13" s="169" t="s">
        <v>127</v>
      </c>
      <c r="F13" s="170">
        <v>9</v>
      </c>
      <c r="G13" s="176">
        <f>saisie!J57</f>
        <v>0.9230769230769231</v>
      </c>
      <c r="H13" s="212"/>
      <c r="L13" s="111"/>
    </row>
    <row r="14" spans="2:12" ht="39.75" customHeight="1">
      <c r="B14" s="213"/>
      <c r="C14" s="210"/>
      <c r="D14" s="211"/>
      <c r="E14" s="169" t="s">
        <v>128</v>
      </c>
      <c r="F14" s="170">
        <v>10</v>
      </c>
      <c r="G14" s="176">
        <f>saisie!K57</f>
        <v>0.92</v>
      </c>
      <c r="H14" s="212"/>
      <c r="L14" s="111"/>
    </row>
    <row r="15" spans="2:12" ht="27.75" customHeight="1">
      <c r="B15" s="213"/>
      <c r="C15" s="210"/>
      <c r="D15" s="211"/>
      <c r="E15" s="169" t="s">
        <v>129</v>
      </c>
      <c r="F15" s="170">
        <v>11</v>
      </c>
      <c r="G15" s="176">
        <f>saisie!L57</f>
        <v>0.8846153846153846</v>
      </c>
      <c r="H15" s="212">
        <f>COUNTIF(G15:G20,1)/COUNTIF(G15:G20,"&lt;&gt;A")</f>
        <v>0.3333333333333333</v>
      </c>
      <c r="L15" s="111"/>
    </row>
    <row r="16" spans="2:12" ht="27.75" customHeight="1">
      <c r="B16" s="216" t="s">
        <v>18</v>
      </c>
      <c r="C16" s="210" t="s">
        <v>109</v>
      </c>
      <c r="D16" s="211"/>
      <c r="E16" s="169" t="s">
        <v>130</v>
      </c>
      <c r="F16" s="170">
        <v>12</v>
      </c>
      <c r="G16" s="176">
        <f>saisie!M57</f>
        <v>0.9230769230769231</v>
      </c>
      <c r="H16" s="212">
        <f>saisie!Z48</f>
        <v>0.8903225806451613</v>
      </c>
      <c r="L16" s="111"/>
    </row>
    <row r="17" spans="2:12" ht="27.75" customHeight="1">
      <c r="B17" s="216"/>
      <c r="C17" s="210"/>
      <c r="D17" s="211"/>
      <c r="E17" s="169" t="s">
        <v>131</v>
      </c>
      <c r="F17" s="170">
        <v>13</v>
      </c>
      <c r="G17" s="176">
        <f>saisie!N57</f>
        <v>0.9230769230769231</v>
      </c>
      <c r="H17" s="212"/>
      <c r="L17" s="111"/>
    </row>
    <row r="18" spans="2:12" ht="27.75" customHeight="1">
      <c r="B18" s="216"/>
      <c r="C18" s="210"/>
      <c r="D18" s="211"/>
      <c r="E18" s="169" t="s">
        <v>132</v>
      </c>
      <c r="F18" s="170">
        <v>14</v>
      </c>
      <c r="G18" s="176">
        <f>saisie!O57</f>
        <v>0.6</v>
      </c>
      <c r="H18" s="212"/>
      <c r="L18" s="111"/>
    </row>
    <row r="19" spans="2:12" ht="36.75" customHeight="1">
      <c r="B19" s="216"/>
      <c r="C19" s="210"/>
      <c r="D19" s="211"/>
      <c r="E19" s="169" t="s">
        <v>133</v>
      </c>
      <c r="F19" s="170">
        <v>15</v>
      </c>
      <c r="G19" s="176">
        <f>saisie!P57</f>
        <v>1</v>
      </c>
      <c r="H19" s="212"/>
      <c r="L19" s="111"/>
    </row>
    <row r="20" spans="2:12" ht="48" customHeight="1">
      <c r="B20" s="216"/>
      <c r="C20" s="210"/>
      <c r="D20" s="211"/>
      <c r="E20" s="169" t="s">
        <v>134</v>
      </c>
      <c r="F20" s="170">
        <v>16</v>
      </c>
      <c r="G20" s="176">
        <f>saisie!Q57</f>
        <v>1</v>
      </c>
      <c r="H20" s="212"/>
      <c r="L20" s="111"/>
    </row>
    <row r="21" spans="2:12" ht="51" customHeight="1">
      <c r="B21" s="209" t="s">
        <v>19</v>
      </c>
      <c r="C21" s="210" t="s">
        <v>108</v>
      </c>
      <c r="D21" s="211"/>
      <c r="E21" s="169" t="s">
        <v>135</v>
      </c>
      <c r="F21" s="170">
        <v>17</v>
      </c>
      <c r="G21" s="176">
        <f>saisie!R57</f>
        <v>0.9230769230769231</v>
      </c>
      <c r="H21" s="212">
        <f>saisie!AA48</f>
        <v>0.8076923076923077</v>
      </c>
      <c r="L21" s="111"/>
    </row>
    <row r="22" spans="2:12" ht="66.75" customHeight="1">
      <c r="B22" s="209"/>
      <c r="C22" s="210"/>
      <c r="D22" s="211"/>
      <c r="E22" s="169" t="s">
        <v>136</v>
      </c>
      <c r="F22" s="170">
        <v>18</v>
      </c>
      <c r="G22" s="176">
        <f>saisie!S57</f>
        <v>0.6923076923076923</v>
      </c>
      <c r="H22" s="212"/>
      <c r="L22" s="111"/>
    </row>
    <row r="23" spans="2:12" ht="36.75" customHeight="1">
      <c r="B23" s="213" t="s">
        <v>20</v>
      </c>
      <c r="C23" s="214" t="s">
        <v>113</v>
      </c>
      <c r="D23" s="214"/>
      <c r="E23" s="169" t="s">
        <v>114</v>
      </c>
      <c r="F23" s="170">
        <v>19</v>
      </c>
      <c r="G23" s="176">
        <f>saisie!T57</f>
        <v>0.8461538461538461</v>
      </c>
      <c r="H23" s="212">
        <f>saisie!AB48</f>
        <v>0.7087378640776699</v>
      </c>
      <c r="J23" s="112"/>
      <c r="K23" s="113"/>
      <c r="L23" s="111"/>
    </row>
    <row r="24" spans="2:12" ht="36.75" customHeight="1">
      <c r="B24" s="213"/>
      <c r="C24" s="215"/>
      <c r="D24" s="215"/>
      <c r="E24" s="169" t="s">
        <v>115</v>
      </c>
      <c r="F24" s="170">
        <v>20</v>
      </c>
      <c r="G24" s="176">
        <f>saisie!U57</f>
        <v>0.7692307692307693</v>
      </c>
      <c r="H24" s="212"/>
      <c r="J24" s="112"/>
      <c r="K24" s="113"/>
      <c r="L24" s="111"/>
    </row>
    <row r="25" spans="2:12" ht="36.75" customHeight="1">
      <c r="B25" s="213"/>
      <c r="C25" s="215"/>
      <c r="D25" s="215"/>
      <c r="E25" s="169" t="s">
        <v>116</v>
      </c>
      <c r="F25" s="170">
        <v>21</v>
      </c>
      <c r="G25" s="176">
        <f>saisie!V57</f>
        <v>0.56</v>
      </c>
      <c r="H25" s="212"/>
      <c r="L25" s="111"/>
    </row>
    <row r="26" spans="2:12" ht="36.75" customHeight="1">
      <c r="B26" s="163"/>
      <c r="C26" s="215"/>
      <c r="D26" s="215"/>
      <c r="E26" s="169" t="s">
        <v>117</v>
      </c>
      <c r="F26" s="170">
        <v>22</v>
      </c>
      <c r="G26" s="176">
        <f>saisie!W57</f>
        <v>0.6538461538461539</v>
      </c>
      <c r="H26" s="212"/>
      <c r="L26" s="111"/>
    </row>
    <row r="27" spans="3:12" ht="24">
      <c r="C27" s="100"/>
      <c r="E27" s="100" t="s">
        <v>47</v>
      </c>
      <c r="L27" s="111"/>
    </row>
    <row r="28" spans="3:13" ht="16.5">
      <c r="C28" s="100"/>
      <c r="I28" s="111"/>
      <c r="J28" s="111"/>
      <c r="K28" s="111"/>
      <c r="L28" s="111"/>
      <c r="M28" s="111"/>
    </row>
    <row r="29" spans="3:15" ht="16.5">
      <c r="C29" s="100"/>
      <c r="I29" s="111"/>
      <c r="J29" s="111"/>
      <c r="K29" s="111"/>
      <c r="L29" s="111"/>
      <c r="M29" s="111"/>
      <c r="N29" s="114"/>
      <c r="O29" s="114"/>
    </row>
    <row r="30" spans="9:17" ht="16.5">
      <c r="I30" s="111"/>
      <c r="J30" s="111"/>
      <c r="K30" s="111"/>
      <c r="L30" s="111"/>
      <c r="M30" s="111"/>
      <c r="N30" s="114"/>
      <c r="O30" s="114"/>
      <c r="P30" s="111"/>
      <c r="Q30" s="115"/>
    </row>
    <row r="31" spans="9:17" ht="16.5">
      <c r="I31" s="111" t="s">
        <v>48</v>
      </c>
      <c r="J31" s="111" t="s">
        <v>26</v>
      </c>
      <c r="K31" s="111" t="s">
        <v>27</v>
      </c>
      <c r="L31" s="111" t="s">
        <v>49</v>
      </c>
      <c r="M31" s="111" t="s">
        <v>50</v>
      </c>
      <c r="N31"/>
      <c r="O31"/>
      <c r="P31" s="111" t="s">
        <v>51</v>
      </c>
      <c r="Q31" s="115"/>
    </row>
    <row r="32" spans="9:17" ht="16.5">
      <c r="I32" s="116">
        <f>H4</f>
        <v>0.8421052631578947</v>
      </c>
      <c r="J32" s="116">
        <f>H11</f>
        <v>0.8125</v>
      </c>
      <c r="K32" s="116">
        <f>H16</f>
        <v>0.8903225806451613</v>
      </c>
      <c r="L32" s="116">
        <f>H21</f>
        <v>0.8076923076923077</v>
      </c>
      <c r="M32" s="117">
        <f>H23</f>
        <v>0.7087378640776699</v>
      </c>
      <c r="N32"/>
      <c r="O32"/>
      <c r="P32" s="116">
        <f>COUNTIF(G4:G25,1)/COUNTIF(G4:G25,"&lt;&gt;A")</f>
        <v>0.09090909090909091</v>
      </c>
      <c r="Q32" s="115"/>
    </row>
    <row r="33" spans="9:17" ht="16.5">
      <c r="I33" s="111"/>
      <c r="J33" s="111"/>
      <c r="K33" s="111"/>
      <c r="L33" s="111"/>
      <c r="M33" s="111"/>
      <c r="N33" s="111"/>
      <c r="O33" s="111"/>
      <c r="P33" s="111"/>
      <c r="Q33" s="115"/>
    </row>
  </sheetData>
  <sheetProtection/>
  <mergeCells count="22">
    <mergeCell ref="B2:C2"/>
    <mergeCell ref="D2:E2"/>
    <mergeCell ref="F2:H2"/>
    <mergeCell ref="C3:D3"/>
    <mergeCell ref="B4:B10"/>
    <mergeCell ref="C4:D10"/>
    <mergeCell ref="H4:H10"/>
    <mergeCell ref="D1:E1"/>
    <mergeCell ref="B21:B22"/>
    <mergeCell ref="C21:D22"/>
    <mergeCell ref="H21:H22"/>
    <mergeCell ref="F5:F6"/>
    <mergeCell ref="G5:G6"/>
    <mergeCell ref="B16:B20"/>
    <mergeCell ref="C16:D20"/>
    <mergeCell ref="B23:B25"/>
    <mergeCell ref="C23:D26"/>
    <mergeCell ref="H23:H26"/>
    <mergeCell ref="B11:B15"/>
    <mergeCell ref="C11:D15"/>
    <mergeCell ref="H11:H15"/>
    <mergeCell ref="H16:H20"/>
  </mergeCells>
  <conditionalFormatting sqref="H4:H23">
    <cfRule type="cellIs" priority="13" dxfId="41" operator="greaterThanOrEqual" stopIfTrue="1">
      <formula>0.6</formula>
    </cfRule>
    <cfRule type="cellIs" priority="14" dxfId="42" operator="lessThan" stopIfTrue="1">
      <formula>0.4</formula>
    </cfRule>
    <cfRule type="cellIs" priority="15" dxfId="40" operator="equal" stopIfTrue="1">
      <formula>0</formula>
    </cfRule>
  </conditionalFormatting>
  <conditionalFormatting sqref="G26">
    <cfRule type="cellIs" priority="7" dxfId="41" operator="between" stopIfTrue="1">
      <formula>0.6</formula>
      <formula>1</formula>
    </cfRule>
    <cfRule type="cellIs" priority="8" dxfId="40" operator="equal" stopIfTrue="1">
      <formula>0</formula>
    </cfRule>
    <cfRule type="cellIs" priority="9" dxfId="42" operator="between" stopIfTrue="1">
      <formula>0.01</formula>
      <formula>0.4</formula>
    </cfRule>
  </conditionalFormatting>
  <conditionalFormatting sqref="G4:G5 G7:G25">
    <cfRule type="cellIs" priority="4" dxfId="41" operator="between" stopIfTrue="1">
      <formula>0.6</formula>
      <formula>1</formula>
    </cfRule>
    <cfRule type="cellIs" priority="5" dxfId="40" operator="equal" stopIfTrue="1">
      <formula>0</formula>
    </cfRule>
    <cfRule type="cellIs" priority="6" dxfId="42" operator="between" stopIfTrue="1">
      <formula>0.01</formula>
      <formula>0.4</formula>
    </cfRule>
  </conditionalFormatting>
  <conditionalFormatting sqref="I7">
    <cfRule type="cellIs" priority="1" dxfId="41" operator="between" stopIfTrue="1">
      <formula>0.6</formula>
      <formula>1</formula>
    </cfRule>
    <cfRule type="cellIs" priority="2" dxfId="40" operator="equal" stopIfTrue="1">
      <formula>0</formula>
    </cfRule>
    <cfRule type="cellIs" priority="3" dxfId="42" operator="between" stopIfTrue="1">
      <formula>0.01</formula>
      <formula>0.4</formula>
    </cfRule>
  </conditionalFormatting>
  <dataValidations count="3">
    <dataValidation operator="equal" promptTitle="Attention !" prompt="seulement 1, 2, 9, 0 ou A pour absent" sqref="G4:G5 G7:G26">
      <formula1>0</formula1>
    </dataValidation>
    <dataValidation operator="equal" allowBlank="1" showInputMessage="1" promptTitle="Onglet &quot;Synthèse individuelle&quot;" prompt="Dans cet onglet vous sélectionnez uniquement le nom de l'élève en D1 (menu déroulant)." sqref="B1">
      <formula1>0</formula1>
    </dataValidation>
    <dataValidation operator="equal" allowBlank="1" sqref="D1"/>
  </dataValidations>
  <printOptions/>
  <pageMargins left="0.5902777777777778" right="0.5902777777777778" top="0.5902777777777778" bottom="0.5902777777777778" header="0.5118055555555555" footer="0.5118055555555555"/>
  <pageSetup firstPageNumber="1" useFirstPageNumber="1" fitToHeight="1" fitToWidth="1" horizontalDpi="300" verticalDpi="300" orientation="portrait" paperSize="9" scale="53"/>
  <drawing r:id="rId1"/>
</worksheet>
</file>

<file path=xl/worksheets/sheet5.xml><?xml version="1.0" encoding="utf-8"?>
<worksheet xmlns="http://schemas.openxmlformats.org/spreadsheetml/2006/main" xmlns:r="http://schemas.openxmlformats.org/officeDocument/2006/relationships">
  <sheetPr>
    <pageSetUpPr fitToPage="1"/>
  </sheetPr>
  <dimension ref="A1:EL116"/>
  <sheetViews>
    <sheetView showGridLines="0" tabSelected="1" zoomScale="125" zoomScaleNormal="125" zoomScaleSheetLayoutView="90" workbookViewId="0" topLeftCell="A11">
      <selection activeCell="AE15" sqref="AE15"/>
    </sheetView>
  </sheetViews>
  <sheetFormatPr defaultColWidth="11.57421875" defaultRowHeight="12.75"/>
  <cols>
    <col min="1" max="1" width="3.00390625" style="118" customWidth="1"/>
    <col min="2" max="8" width="3.00390625" style="119" customWidth="1"/>
    <col min="9" max="28" width="5.140625" style="119" customWidth="1"/>
    <col min="29" max="29" width="5.140625" style="120" customWidth="1"/>
    <col min="30" max="31" width="5.140625" style="119" customWidth="1"/>
    <col min="32" max="32" width="3.00390625" style="119" customWidth="1"/>
    <col min="33" max="36" width="5.140625" style="186" customWidth="1"/>
    <col min="37" max="37" width="4.8515625" style="186" customWidth="1"/>
    <col min="38" max="39" width="3.00390625" style="186" customWidth="1"/>
    <col min="40" max="40" width="3.00390625" style="121" customWidth="1"/>
    <col min="41" max="55" width="3.00390625" style="119" customWidth="1"/>
    <col min="56" max="56" width="3.00390625" style="118" customWidth="1"/>
    <col min="57" max="66" width="3.00390625" style="119" customWidth="1"/>
    <col min="67" max="67" width="2.140625" style="118" customWidth="1"/>
    <col min="68" max="68" width="0" style="119" hidden="1" customWidth="1"/>
    <col min="69" max="69" width="0" style="122" hidden="1" customWidth="1"/>
    <col min="70" max="70" width="11.421875" style="118" customWidth="1"/>
    <col min="71" max="16384" width="11.421875" style="119" customWidth="1"/>
  </cols>
  <sheetData>
    <row r="1" spans="1:142" ht="29.25" customHeight="1">
      <c r="A1" s="246" t="s">
        <v>0</v>
      </c>
      <c r="B1" s="246"/>
      <c r="C1" s="118"/>
      <c r="D1" s="118"/>
      <c r="E1" s="118"/>
      <c r="F1" s="247" t="s">
        <v>52</v>
      </c>
      <c r="G1" s="247"/>
      <c r="H1" s="247"/>
      <c r="I1" s="247"/>
      <c r="J1" s="247"/>
      <c r="K1" s="247"/>
      <c r="L1" s="247"/>
      <c r="M1" s="248" t="str">
        <f>à_lire!D14&amp;" "&amp;à_lire!D8</f>
        <v>CM2A ALBERT CAMUS</v>
      </c>
      <c r="N1" s="248"/>
      <c r="O1" s="248"/>
      <c r="P1" s="248"/>
      <c r="Q1" s="248"/>
      <c r="R1" s="248"/>
      <c r="S1" s="248"/>
      <c r="T1" s="248"/>
      <c r="U1" s="248"/>
      <c r="V1" s="248"/>
      <c r="W1" s="248"/>
      <c r="X1" s="248"/>
      <c r="Y1" s="248"/>
      <c r="Z1" s="248"/>
      <c r="AA1" s="248"/>
      <c r="AB1" s="248"/>
      <c r="AC1" s="248"/>
      <c r="AD1" s="248"/>
      <c r="AE1" s="248"/>
      <c r="AF1" s="248"/>
      <c r="AG1" s="177"/>
      <c r="AH1" s="177"/>
      <c r="AI1" s="177"/>
      <c r="AJ1" s="177"/>
      <c r="AK1" s="177"/>
      <c r="AL1" s="177"/>
      <c r="AM1" s="177"/>
      <c r="AO1" s="118"/>
      <c r="AP1" s="118"/>
      <c r="AQ1" s="118"/>
      <c r="AR1" s="118"/>
      <c r="AS1" s="118"/>
      <c r="AT1" s="118"/>
      <c r="AU1" s="118"/>
      <c r="AV1" s="118"/>
      <c r="AW1" s="118"/>
      <c r="AX1" s="118"/>
      <c r="AY1" s="118"/>
      <c r="AZ1" s="118"/>
      <c r="BA1" s="118"/>
      <c r="BB1" s="118"/>
      <c r="BC1" s="118"/>
      <c r="BE1" s="118"/>
      <c r="BF1" s="118"/>
      <c r="BG1" s="118"/>
      <c r="BH1" s="118"/>
      <c r="BI1" s="118"/>
      <c r="BJ1" s="118"/>
      <c r="BK1" s="118"/>
      <c r="BL1" s="118"/>
      <c r="BM1" s="118"/>
      <c r="BN1" s="118"/>
      <c r="BQ1" s="119"/>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row>
    <row r="2" spans="2:142" ht="12.75" customHeight="1">
      <c r="B2" s="118"/>
      <c r="C2" s="118"/>
      <c r="D2" s="118"/>
      <c r="E2" s="118"/>
      <c r="F2" s="118"/>
      <c r="G2" s="118"/>
      <c r="H2" s="118"/>
      <c r="I2" s="120"/>
      <c r="J2" s="120"/>
      <c r="K2" s="120"/>
      <c r="L2" s="120"/>
      <c r="M2" s="120"/>
      <c r="N2" s="120"/>
      <c r="O2" s="120"/>
      <c r="P2" s="120"/>
      <c r="Q2" s="120"/>
      <c r="R2" s="120"/>
      <c r="S2" s="120"/>
      <c r="T2" s="120"/>
      <c r="U2" s="120"/>
      <c r="V2" s="120"/>
      <c r="W2" s="120"/>
      <c r="X2" s="120"/>
      <c r="Y2" s="120"/>
      <c r="Z2" s="120"/>
      <c r="AA2" s="120"/>
      <c r="AB2" s="120"/>
      <c r="AD2" s="120"/>
      <c r="AE2" s="120"/>
      <c r="AF2" s="118"/>
      <c r="AG2" s="177"/>
      <c r="AH2" s="177"/>
      <c r="AI2" s="177"/>
      <c r="AJ2" s="177"/>
      <c r="AK2" s="177"/>
      <c r="AL2" s="177"/>
      <c r="AM2" s="177"/>
      <c r="AO2" s="118"/>
      <c r="AP2" s="118"/>
      <c r="AQ2" s="118"/>
      <c r="AR2" s="118"/>
      <c r="AS2" s="118"/>
      <c r="AT2" s="118"/>
      <c r="AU2" s="118"/>
      <c r="AV2" s="118"/>
      <c r="AW2" s="118"/>
      <c r="AX2" s="118"/>
      <c r="AY2" s="118"/>
      <c r="AZ2" s="118"/>
      <c r="BA2" s="118"/>
      <c r="BB2" s="118"/>
      <c r="BC2" s="118"/>
      <c r="BE2" s="118"/>
      <c r="BF2" s="118"/>
      <c r="BG2" s="118"/>
      <c r="BH2" s="118"/>
      <c r="BI2" s="118"/>
      <c r="BJ2" s="118"/>
      <c r="BK2" s="118"/>
      <c r="BL2" s="118"/>
      <c r="BM2" s="118"/>
      <c r="BN2" s="118"/>
      <c r="BQ2" s="119"/>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row>
    <row r="3" spans="2:75" ht="21.75" customHeight="1">
      <c r="B3" s="118"/>
      <c r="C3" s="118"/>
      <c r="D3" s="118"/>
      <c r="E3" s="118"/>
      <c r="F3" s="118"/>
      <c r="G3" s="118"/>
      <c r="H3" s="118"/>
      <c r="I3" s="227" t="s">
        <v>16</v>
      </c>
      <c r="J3" s="228"/>
      <c r="K3" s="228"/>
      <c r="L3" s="228"/>
      <c r="M3" s="228"/>
      <c r="N3" s="229"/>
      <c r="O3" s="230" t="s">
        <v>17</v>
      </c>
      <c r="P3" s="249"/>
      <c r="Q3" s="249"/>
      <c r="R3" s="249"/>
      <c r="S3" s="231"/>
      <c r="T3" s="227" t="s">
        <v>18</v>
      </c>
      <c r="U3" s="228"/>
      <c r="V3" s="228"/>
      <c r="W3" s="228"/>
      <c r="X3" s="229"/>
      <c r="Y3" s="230" t="s">
        <v>19</v>
      </c>
      <c r="Z3" s="231"/>
      <c r="AA3" s="227" t="s">
        <v>20</v>
      </c>
      <c r="AB3" s="228"/>
      <c r="AC3" s="228"/>
      <c r="AD3" s="229"/>
      <c r="AE3"/>
      <c r="AF3" s="118"/>
      <c r="AG3" s="177"/>
      <c r="AH3" s="177"/>
      <c r="AI3" s="177"/>
      <c r="AJ3" s="177"/>
      <c r="AK3" s="177"/>
      <c r="AL3" s="177"/>
      <c r="AM3" s="177"/>
      <c r="AO3" s="118"/>
      <c r="AP3" s="118"/>
      <c r="AQ3" s="118"/>
      <c r="AR3" s="118"/>
      <c r="AS3" s="118"/>
      <c r="AT3" s="118"/>
      <c r="AU3" s="118"/>
      <c r="AV3" s="118"/>
      <c r="AW3" s="118"/>
      <c r="AX3" s="118"/>
      <c r="AY3" s="118"/>
      <c r="AZ3" s="118"/>
      <c r="BA3" s="118"/>
      <c r="BB3" s="118"/>
      <c r="BC3" s="118"/>
      <c r="BE3" s="118"/>
      <c r="BF3" s="118"/>
      <c r="BG3" s="118"/>
      <c r="BH3" s="118"/>
      <c r="BI3" s="118"/>
      <c r="BJ3" s="118"/>
      <c r="BK3" s="118"/>
      <c r="BL3" s="118"/>
      <c r="BM3" s="118"/>
      <c r="BN3" s="118"/>
      <c r="BQ3" s="119"/>
      <c r="BS3" s="118"/>
      <c r="BT3" s="123"/>
      <c r="BU3" s="124"/>
      <c r="BV3" s="123"/>
      <c r="BW3" s="125"/>
    </row>
    <row r="4" spans="2:75" ht="12.75" customHeight="1">
      <c r="B4" s="118"/>
      <c r="C4" s="118"/>
      <c r="D4" s="118"/>
      <c r="E4" s="118"/>
      <c r="F4" s="118"/>
      <c r="G4" s="118"/>
      <c r="H4" s="118"/>
      <c r="I4" s="126">
        <v>1</v>
      </c>
      <c r="J4" s="126">
        <v>2</v>
      </c>
      <c r="K4" s="126">
        <v>3</v>
      </c>
      <c r="L4" s="126">
        <v>4</v>
      </c>
      <c r="M4" s="126">
        <v>5</v>
      </c>
      <c r="N4" s="126">
        <v>6</v>
      </c>
      <c r="O4" s="63">
        <v>7</v>
      </c>
      <c r="P4" s="63">
        <v>8</v>
      </c>
      <c r="Q4" s="63">
        <v>9</v>
      </c>
      <c r="R4" s="63">
        <v>10</v>
      </c>
      <c r="S4" s="63">
        <v>11</v>
      </c>
      <c r="T4" s="127">
        <v>12</v>
      </c>
      <c r="U4" s="127">
        <v>13</v>
      </c>
      <c r="V4" s="126">
        <v>14</v>
      </c>
      <c r="W4" s="126">
        <v>15</v>
      </c>
      <c r="X4" s="126">
        <v>16</v>
      </c>
      <c r="Y4" s="63">
        <v>17</v>
      </c>
      <c r="Z4" s="63">
        <v>18</v>
      </c>
      <c r="AA4" s="126">
        <v>19</v>
      </c>
      <c r="AB4" s="126">
        <v>20</v>
      </c>
      <c r="AC4" s="126">
        <v>21</v>
      </c>
      <c r="AD4" s="126">
        <v>22</v>
      </c>
      <c r="AE4"/>
      <c r="AF4" s="118"/>
      <c r="AG4" s="177"/>
      <c r="AH4" s="177"/>
      <c r="AI4" s="177"/>
      <c r="AJ4" s="177"/>
      <c r="AK4" s="177"/>
      <c r="AL4" s="177"/>
      <c r="AM4" s="177"/>
      <c r="AO4" s="118"/>
      <c r="AP4" s="118"/>
      <c r="AQ4" s="118"/>
      <c r="AR4" s="118"/>
      <c r="AS4" s="118"/>
      <c r="AT4" s="118"/>
      <c r="AU4" s="118"/>
      <c r="AV4" s="118"/>
      <c r="AW4" s="118"/>
      <c r="AX4" s="118"/>
      <c r="AY4" s="118"/>
      <c r="AZ4" s="118"/>
      <c r="BA4" s="118"/>
      <c r="BB4" s="118"/>
      <c r="BC4" s="118"/>
      <c r="BE4" s="118"/>
      <c r="BF4" s="118"/>
      <c r="BG4" s="118"/>
      <c r="BH4" s="118"/>
      <c r="BI4" s="118"/>
      <c r="BJ4" s="118"/>
      <c r="BK4" s="118"/>
      <c r="BL4" s="118"/>
      <c r="BM4" s="118"/>
      <c r="BN4" s="118"/>
      <c r="BQ4" s="119"/>
      <c r="BS4" s="118"/>
      <c r="BT4" s="123"/>
      <c r="BU4" s="124"/>
      <c r="BV4" s="123"/>
      <c r="BW4" s="125"/>
    </row>
    <row r="5" spans="2:75" ht="12.75" customHeight="1">
      <c r="B5" s="118"/>
      <c r="C5" s="118"/>
      <c r="D5" s="118"/>
      <c r="E5" s="118"/>
      <c r="F5" s="118"/>
      <c r="G5" s="118"/>
      <c r="H5" s="118"/>
      <c r="I5" s="128">
        <f>saisie!B57</f>
        <v>0.9583333333333334</v>
      </c>
      <c r="J5" s="128">
        <f>saisie!C57</f>
        <v>0.9615384615384616</v>
      </c>
      <c r="K5" s="128">
        <f>saisie!D57</f>
        <v>0.8</v>
      </c>
      <c r="L5" s="128">
        <f>saisie!E57</f>
        <v>0.7692307692307693</v>
      </c>
      <c r="M5" s="128">
        <f>saisie!F57</f>
        <v>0.8</v>
      </c>
      <c r="N5" s="128">
        <f>saisie!G57</f>
        <v>0.7692307692307693</v>
      </c>
      <c r="O5" s="128">
        <f>saisie!H57</f>
        <v>0.76</v>
      </c>
      <c r="P5" s="128">
        <f>saisie!I57</f>
        <v>0.5769230769230769</v>
      </c>
      <c r="Q5" s="128">
        <f>saisie!J57</f>
        <v>0.9230769230769231</v>
      </c>
      <c r="R5" s="128">
        <f>saisie!K57</f>
        <v>0.92</v>
      </c>
      <c r="S5" s="128">
        <f>saisie!L57</f>
        <v>0.8846153846153846</v>
      </c>
      <c r="T5" s="128">
        <f>saisie!M57</f>
        <v>0.9230769230769231</v>
      </c>
      <c r="U5" s="128">
        <f>saisie!N57</f>
        <v>0.9230769230769231</v>
      </c>
      <c r="V5" s="128">
        <f>saisie!O57</f>
        <v>0.6</v>
      </c>
      <c r="W5" s="128">
        <f>saisie!P57</f>
        <v>1</v>
      </c>
      <c r="X5" s="128">
        <f>saisie!Q57</f>
        <v>1</v>
      </c>
      <c r="Y5" s="128">
        <f>saisie!R57</f>
        <v>0.9230769230769231</v>
      </c>
      <c r="Z5" s="128">
        <f>saisie!S57</f>
        <v>0.6923076923076923</v>
      </c>
      <c r="AA5" s="128">
        <f>saisie!T57</f>
        <v>0.8461538461538461</v>
      </c>
      <c r="AB5" s="128">
        <f>saisie!U57</f>
        <v>0.7692307692307693</v>
      </c>
      <c r="AC5" s="128">
        <f>saisie!V57</f>
        <v>0.56</v>
      </c>
      <c r="AD5" s="128">
        <f>saisie!W57</f>
        <v>0.6538461538461539</v>
      </c>
      <c r="AE5"/>
      <c r="AF5"/>
      <c r="AG5"/>
      <c r="AH5"/>
      <c r="AI5"/>
      <c r="AJ5"/>
      <c r="AK5" s="178"/>
      <c r="AL5" s="177"/>
      <c r="AM5" s="177"/>
      <c r="AO5" s="118"/>
      <c r="AP5" s="118"/>
      <c r="AQ5" s="118"/>
      <c r="AR5" s="118"/>
      <c r="AS5" s="118"/>
      <c r="AT5" s="118"/>
      <c r="AU5" s="118"/>
      <c r="AV5" s="118"/>
      <c r="AW5" s="118"/>
      <c r="AX5" s="118"/>
      <c r="AY5" s="118"/>
      <c r="AZ5" s="118"/>
      <c r="BA5" s="118"/>
      <c r="BB5" s="118"/>
      <c r="BC5" s="118"/>
      <c r="BE5" s="118"/>
      <c r="BF5" s="118"/>
      <c r="BG5" s="118"/>
      <c r="BH5" s="118"/>
      <c r="BI5" s="118"/>
      <c r="BJ5" s="118"/>
      <c r="BK5" s="118"/>
      <c r="BL5" s="118"/>
      <c r="BM5" s="118"/>
      <c r="BN5" s="118"/>
      <c r="BQ5" s="119"/>
      <c r="BS5" s="118"/>
      <c r="BT5" s="123"/>
      <c r="BU5" s="124"/>
      <c r="BV5" s="123"/>
      <c r="BW5" s="125"/>
    </row>
    <row r="6" spans="2:75" ht="12.75" customHeight="1">
      <c r="B6" s="118"/>
      <c r="C6" s="118"/>
      <c r="D6" s="118"/>
      <c r="E6" s="118"/>
      <c r="F6" s="118"/>
      <c r="G6" s="118"/>
      <c r="H6" s="118"/>
      <c r="I6" s="120"/>
      <c r="J6" s="120"/>
      <c r="K6" s="120"/>
      <c r="L6" s="120"/>
      <c r="M6" s="120"/>
      <c r="N6" s="120"/>
      <c r="O6" s="120"/>
      <c r="P6" s="120"/>
      <c r="Q6" s="120"/>
      <c r="R6" s="120"/>
      <c r="S6" s="120"/>
      <c r="T6" s="120"/>
      <c r="U6" s="120"/>
      <c r="V6" s="120"/>
      <c r="W6" s="120"/>
      <c r="X6" s="120"/>
      <c r="Y6" s="120"/>
      <c r="Z6" s="120"/>
      <c r="AA6" s="120"/>
      <c r="AB6" s="120"/>
      <c r="AD6" s="120"/>
      <c r="AE6" s="120"/>
      <c r="AF6" s="118"/>
      <c r="AG6" s="177"/>
      <c r="AH6" s="177"/>
      <c r="AI6" s="177"/>
      <c r="AJ6" s="177"/>
      <c r="AK6" s="177"/>
      <c r="AL6" s="177"/>
      <c r="AM6" s="177"/>
      <c r="AO6" s="118"/>
      <c r="AP6" s="118"/>
      <c r="AQ6" s="118"/>
      <c r="AR6" s="118"/>
      <c r="AS6" s="118"/>
      <c r="AT6" s="118"/>
      <c r="AU6" s="118"/>
      <c r="AV6" s="118"/>
      <c r="AW6" s="118"/>
      <c r="AX6" s="118"/>
      <c r="AY6" s="118"/>
      <c r="AZ6" s="118"/>
      <c r="BA6" s="118"/>
      <c r="BB6" s="118"/>
      <c r="BC6" s="118"/>
      <c r="BE6" s="118"/>
      <c r="BF6" s="118"/>
      <c r="BG6" s="118"/>
      <c r="BH6" s="118"/>
      <c r="BI6" s="118"/>
      <c r="BJ6" s="118"/>
      <c r="BK6" s="118"/>
      <c r="BL6" s="118"/>
      <c r="BM6" s="118"/>
      <c r="BN6" s="118"/>
      <c r="BQ6" s="119"/>
      <c r="BS6" s="118"/>
      <c r="BT6" s="123"/>
      <c r="BU6" s="124"/>
      <c r="BV6" s="123"/>
      <c r="BW6" s="125"/>
    </row>
    <row r="7" spans="2:75" ht="27.75" customHeight="1">
      <c r="B7" s="118"/>
      <c r="C7" s="118"/>
      <c r="D7" s="118"/>
      <c r="E7" s="118"/>
      <c r="F7" s="118"/>
      <c r="G7" s="118"/>
      <c r="H7" s="118"/>
      <c r="I7" s="120"/>
      <c r="J7" s="120"/>
      <c r="K7" s="120"/>
      <c r="L7" s="120"/>
      <c r="M7" s="120"/>
      <c r="N7" s="120"/>
      <c r="O7" s="120"/>
      <c r="P7" s="120"/>
      <c r="Q7" s="120"/>
      <c r="R7" s="120"/>
      <c r="S7" s="120"/>
      <c r="T7" s="120"/>
      <c r="U7" s="120"/>
      <c r="V7" s="120"/>
      <c r="W7" s="120"/>
      <c r="X7" s="120"/>
      <c r="Y7" s="120"/>
      <c r="Z7" s="120"/>
      <c r="AA7" s="120"/>
      <c r="AB7" s="120"/>
      <c r="AD7" s="120"/>
      <c r="AE7" s="120"/>
      <c r="AF7" s="118"/>
      <c r="AG7" s="177"/>
      <c r="AH7" s="177"/>
      <c r="AI7" s="177"/>
      <c r="AJ7" s="177"/>
      <c r="AK7" s="177"/>
      <c r="AL7" s="177"/>
      <c r="AM7" s="177"/>
      <c r="AO7" s="118"/>
      <c r="AP7" s="118"/>
      <c r="AQ7" s="118"/>
      <c r="AR7" s="118"/>
      <c r="AS7" s="118"/>
      <c r="AT7" s="118"/>
      <c r="AU7" s="118"/>
      <c r="AV7" s="118"/>
      <c r="AW7" s="118"/>
      <c r="AX7" s="118"/>
      <c r="AY7" s="118"/>
      <c r="AZ7" s="118"/>
      <c r="BA7" s="118"/>
      <c r="BB7" s="118"/>
      <c r="BC7" s="118"/>
      <c r="BE7" s="118"/>
      <c r="BF7" s="118"/>
      <c r="BG7" s="118"/>
      <c r="BH7" s="118"/>
      <c r="BI7" s="118"/>
      <c r="BJ7" s="118"/>
      <c r="BK7" s="118"/>
      <c r="BL7" s="118"/>
      <c r="BM7" s="118"/>
      <c r="BN7" s="118"/>
      <c r="BQ7" s="119"/>
      <c r="BS7" s="118"/>
      <c r="BT7" s="123"/>
      <c r="BU7" s="124"/>
      <c r="BV7" s="123"/>
      <c r="BW7" s="125"/>
    </row>
    <row r="8" spans="2:69" ht="27.75" customHeight="1">
      <c r="B8" s="118"/>
      <c r="C8" s="118"/>
      <c r="D8" s="118"/>
      <c r="E8" s="118"/>
      <c r="F8" s="118"/>
      <c r="G8" s="118"/>
      <c r="H8" s="118"/>
      <c r="I8" s="120"/>
      <c r="J8" s="120"/>
      <c r="K8" s="120"/>
      <c r="L8" s="120"/>
      <c r="M8" s="120"/>
      <c r="N8" s="120"/>
      <c r="O8" s="120"/>
      <c r="P8" s="120"/>
      <c r="Q8" s="120"/>
      <c r="R8" s="120"/>
      <c r="S8" s="120"/>
      <c r="T8" s="120"/>
      <c r="U8" s="120"/>
      <c r="V8" s="120"/>
      <c r="W8" s="120"/>
      <c r="X8" s="120"/>
      <c r="Y8" s="120"/>
      <c r="Z8" s="120"/>
      <c r="AA8" s="120"/>
      <c r="AB8" s="120"/>
      <c r="AD8" s="120"/>
      <c r="AE8" s="120"/>
      <c r="AF8" s="118"/>
      <c r="AG8" s="177"/>
      <c r="AH8" s="177"/>
      <c r="AI8" s="177"/>
      <c r="AJ8" s="177"/>
      <c r="AK8" s="177"/>
      <c r="AL8" s="177"/>
      <c r="AM8" s="177"/>
      <c r="AO8" s="118"/>
      <c r="AP8" s="118"/>
      <c r="AQ8" s="118"/>
      <c r="AR8" s="118"/>
      <c r="AS8" s="118"/>
      <c r="AT8" s="118"/>
      <c r="AU8" s="118"/>
      <c r="AV8" s="118"/>
      <c r="AW8" s="118"/>
      <c r="AX8" s="118"/>
      <c r="AY8" s="118"/>
      <c r="AZ8" s="118"/>
      <c r="BA8" s="118"/>
      <c r="BB8" s="118"/>
      <c r="BC8" s="118"/>
      <c r="BE8" s="118"/>
      <c r="BF8" s="118"/>
      <c r="BG8" s="118"/>
      <c r="BH8" s="118"/>
      <c r="BI8" s="118"/>
      <c r="BJ8" s="118"/>
      <c r="BK8" s="118"/>
      <c r="BL8" s="118"/>
      <c r="BM8" s="118"/>
      <c r="BN8" s="118"/>
      <c r="BQ8" s="119"/>
    </row>
    <row r="9" spans="2:69" ht="27.75" customHeight="1">
      <c r="B9" s="118"/>
      <c r="C9" s="118"/>
      <c r="D9" s="118"/>
      <c r="E9" s="118"/>
      <c r="F9" s="118"/>
      <c r="G9" s="118"/>
      <c r="H9" s="118"/>
      <c r="I9" s="120"/>
      <c r="J9" s="120"/>
      <c r="K9" s="120"/>
      <c r="L9" s="120"/>
      <c r="M9" s="120"/>
      <c r="N9" s="120"/>
      <c r="O9" s="120"/>
      <c r="P9" s="120"/>
      <c r="Q9" s="120"/>
      <c r="R9" s="120"/>
      <c r="S9" s="120"/>
      <c r="T9" s="120"/>
      <c r="U9" s="120"/>
      <c r="V9" s="120"/>
      <c r="W9" s="120"/>
      <c r="X9" s="120"/>
      <c r="Y9" s="120"/>
      <c r="Z9" s="120"/>
      <c r="AA9" s="120"/>
      <c r="AB9" s="120"/>
      <c r="AD9" s="120"/>
      <c r="AE9" s="120"/>
      <c r="AF9" s="118"/>
      <c r="AG9" s="177"/>
      <c r="AH9" s="177"/>
      <c r="AI9" s="177"/>
      <c r="AJ9" s="177"/>
      <c r="AK9" s="177"/>
      <c r="AL9" s="177"/>
      <c r="AM9" s="177"/>
      <c r="AO9" s="118"/>
      <c r="AP9" s="118"/>
      <c r="AQ9" s="118"/>
      <c r="AR9" s="118"/>
      <c r="AS9" s="118"/>
      <c r="AT9" s="118"/>
      <c r="AU9" s="118"/>
      <c r="AV9" s="118"/>
      <c r="AW9" s="118"/>
      <c r="AX9" s="118"/>
      <c r="AY9" s="118"/>
      <c r="AZ9" s="118"/>
      <c r="BA9" s="118"/>
      <c r="BB9" s="118"/>
      <c r="BC9" s="118"/>
      <c r="BE9" s="118"/>
      <c r="BF9" s="118"/>
      <c r="BG9" s="118"/>
      <c r="BH9" s="118"/>
      <c r="BI9" s="118"/>
      <c r="BJ9" s="118"/>
      <c r="BK9" s="118"/>
      <c r="BL9" s="118"/>
      <c r="BM9" s="118"/>
      <c r="BN9" s="118"/>
      <c r="BQ9" s="119"/>
    </row>
    <row r="10" spans="2:69" ht="27.75" customHeight="1">
      <c r="B10" s="118"/>
      <c r="C10" s="118"/>
      <c r="D10" s="118"/>
      <c r="E10" s="118"/>
      <c r="F10" s="118"/>
      <c r="G10" s="118"/>
      <c r="H10" s="118"/>
      <c r="I10" s="120"/>
      <c r="J10" s="120"/>
      <c r="K10" s="120"/>
      <c r="L10" s="120"/>
      <c r="M10" s="120"/>
      <c r="N10" s="120"/>
      <c r="O10" s="120"/>
      <c r="P10" s="120"/>
      <c r="Q10" s="120"/>
      <c r="R10" s="120"/>
      <c r="S10" s="120"/>
      <c r="T10" s="120"/>
      <c r="U10" s="120"/>
      <c r="V10" s="120"/>
      <c r="W10" s="120"/>
      <c r="X10" s="120"/>
      <c r="Y10" s="120"/>
      <c r="Z10" s="120"/>
      <c r="AA10" s="120"/>
      <c r="AB10" s="120"/>
      <c r="AD10" s="120"/>
      <c r="AE10" s="120"/>
      <c r="AF10" s="118"/>
      <c r="AG10" s="177"/>
      <c r="AH10" s="177"/>
      <c r="AI10" s="177"/>
      <c r="AJ10" s="177"/>
      <c r="AK10" s="177"/>
      <c r="AL10" s="177"/>
      <c r="AM10" s="177"/>
      <c r="AO10" s="118"/>
      <c r="AP10" s="118"/>
      <c r="AQ10" s="118"/>
      <c r="AR10" s="118"/>
      <c r="AS10" s="118"/>
      <c r="AT10" s="118"/>
      <c r="AU10" s="118"/>
      <c r="AV10" s="118"/>
      <c r="AW10" s="118"/>
      <c r="AX10" s="118"/>
      <c r="AY10" s="118"/>
      <c r="AZ10" s="118"/>
      <c r="BA10" s="118"/>
      <c r="BB10" s="118"/>
      <c r="BC10" s="118"/>
      <c r="BE10" s="118"/>
      <c r="BF10" s="118"/>
      <c r="BG10" s="118"/>
      <c r="BH10" s="118"/>
      <c r="BI10" s="118"/>
      <c r="BJ10" s="118"/>
      <c r="BK10" s="118"/>
      <c r="BL10" s="118"/>
      <c r="BM10" s="118"/>
      <c r="BN10" s="118"/>
      <c r="BQ10" s="119"/>
    </row>
    <row r="11" spans="2:69" ht="27.75" customHeight="1">
      <c r="B11" s="118"/>
      <c r="C11" s="118"/>
      <c r="D11" s="118"/>
      <c r="E11" s="118"/>
      <c r="F11" s="118"/>
      <c r="G11" s="118"/>
      <c r="H11" s="118"/>
      <c r="I11" s="120"/>
      <c r="J11" s="120"/>
      <c r="K11" s="120"/>
      <c r="L11" s="120"/>
      <c r="M11" s="120"/>
      <c r="N11" s="120"/>
      <c r="O11" s="120"/>
      <c r="P11" s="120"/>
      <c r="Q11" s="120"/>
      <c r="R11" s="120"/>
      <c r="S11" s="120"/>
      <c r="T11" s="120"/>
      <c r="U11" s="120"/>
      <c r="V11" s="120"/>
      <c r="W11" s="120"/>
      <c r="X11" s="120"/>
      <c r="Y11" s="120"/>
      <c r="Z11" s="120"/>
      <c r="AA11" s="120"/>
      <c r="AB11" s="120"/>
      <c r="AD11" s="120"/>
      <c r="AE11" s="120"/>
      <c r="AF11" s="118"/>
      <c r="AG11" s="177"/>
      <c r="AH11" s="177"/>
      <c r="AI11" s="177"/>
      <c r="AJ11" s="177"/>
      <c r="AK11" s="177"/>
      <c r="AL11" s="177"/>
      <c r="AM11" s="177"/>
      <c r="AO11" s="118"/>
      <c r="AP11" s="118"/>
      <c r="AQ11" s="118"/>
      <c r="AR11" s="118"/>
      <c r="AS11" s="118"/>
      <c r="AT11" s="118"/>
      <c r="AU11" s="118"/>
      <c r="AV11" s="118"/>
      <c r="AW11" s="118"/>
      <c r="AX11" s="118"/>
      <c r="AY11" s="118"/>
      <c r="AZ11" s="118"/>
      <c r="BA11" s="118"/>
      <c r="BB11" s="118"/>
      <c r="BC11" s="118"/>
      <c r="BE11" s="118"/>
      <c r="BF11" s="118"/>
      <c r="BG11" s="118"/>
      <c r="BH11" s="118"/>
      <c r="BI11" s="118"/>
      <c r="BJ11" s="118"/>
      <c r="BK11" s="118"/>
      <c r="BL11" s="118"/>
      <c r="BM11" s="118"/>
      <c r="BN11" s="118"/>
      <c r="BQ11" s="119"/>
    </row>
    <row r="12" spans="2:69" ht="27.75" customHeight="1">
      <c r="B12" s="118"/>
      <c r="C12" s="118"/>
      <c r="D12" s="118"/>
      <c r="E12" s="118"/>
      <c r="F12" s="118"/>
      <c r="G12" s="118"/>
      <c r="H12" s="118"/>
      <c r="I12" s="120"/>
      <c r="J12" s="120"/>
      <c r="K12" s="120"/>
      <c r="L12" s="120"/>
      <c r="M12" s="120"/>
      <c r="N12" s="120"/>
      <c r="O12" s="120"/>
      <c r="P12" s="120"/>
      <c r="Q12" s="120"/>
      <c r="R12" s="120"/>
      <c r="S12" s="120"/>
      <c r="T12" s="120"/>
      <c r="U12" s="120"/>
      <c r="V12" s="120"/>
      <c r="W12" s="120"/>
      <c r="X12" s="120"/>
      <c r="Y12" s="120"/>
      <c r="Z12" s="120"/>
      <c r="AA12" s="120"/>
      <c r="AB12" s="120"/>
      <c r="AD12" s="120"/>
      <c r="AE12" s="120"/>
      <c r="AF12" s="118"/>
      <c r="AG12" s="177"/>
      <c r="AH12" s="177"/>
      <c r="AI12" s="177"/>
      <c r="AJ12" s="177"/>
      <c r="AK12" s="177"/>
      <c r="AL12" s="177"/>
      <c r="AM12" s="177"/>
      <c r="AO12" s="118"/>
      <c r="AP12" s="118"/>
      <c r="AQ12" s="118"/>
      <c r="AR12" s="118"/>
      <c r="AS12" s="118"/>
      <c r="AT12" s="118"/>
      <c r="AU12" s="118"/>
      <c r="AV12" s="118"/>
      <c r="AW12" s="118"/>
      <c r="AX12" s="118"/>
      <c r="AY12" s="118"/>
      <c r="AZ12" s="118"/>
      <c r="BA12" s="118"/>
      <c r="BB12" s="118"/>
      <c r="BC12" s="118"/>
      <c r="BE12" s="118"/>
      <c r="BF12" s="118"/>
      <c r="BG12" s="118"/>
      <c r="BH12" s="118"/>
      <c r="BI12" s="118"/>
      <c r="BJ12" s="118"/>
      <c r="BK12" s="118"/>
      <c r="BL12" s="118"/>
      <c r="BM12" s="118"/>
      <c r="BN12" s="118"/>
      <c r="BQ12" s="119"/>
    </row>
    <row r="13" spans="2:69" ht="27.75" customHeight="1">
      <c r="B13" s="118"/>
      <c r="C13" s="118"/>
      <c r="D13" s="118"/>
      <c r="E13" s="118"/>
      <c r="F13" s="118"/>
      <c r="G13" s="118"/>
      <c r="H13" s="118"/>
      <c r="I13" s="120"/>
      <c r="J13" s="120"/>
      <c r="K13" s="120"/>
      <c r="L13" s="120"/>
      <c r="M13" s="120"/>
      <c r="N13" s="120"/>
      <c r="O13" s="120"/>
      <c r="P13" s="120"/>
      <c r="Q13" s="120"/>
      <c r="R13" s="120"/>
      <c r="S13" s="120"/>
      <c r="T13" s="120"/>
      <c r="U13" s="120"/>
      <c r="V13" s="120"/>
      <c r="W13" s="120"/>
      <c r="X13" s="120"/>
      <c r="Y13" s="120"/>
      <c r="Z13" s="120"/>
      <c r="AA13" s="120"/>
      <c r="AB13" s="120"/>
      <c r="AD13" s="120"/>
      <c r="AE13" s="120"/>
      <c r="AF13" s="118"/>
      <c r="AG13" s="177"/>
      <c r="AH13" s="177"/>
      <c r="AI13" s="177"/>
      <c r="AJ13" s="177"/>
      <c r="AK13" s="177"/>
      <c r="AL13" s="177"/>
      <c r="AM13" s="177"/>
      <c r="AO13" s="118"/>
      <c r="AP13" s="118"/>
      <c r="AQ13" s="118"/>
      <c r="AR13" s="118"/>
      <c r="AS13" s="118"/>
      <c r="AT13" s="118"/>
      <c r="AU13" s="118"/>
      <c r="AV13" s="118"/>
      <c r="AW13" s="118"/>
      <c r="AX13" s="118"/>
      <c r="AY13" s="118"/>
      <c r="AZ13" s="118"/>
      <c r="BA13" s="118"/>
      <c r="BB13" s="118"/>
      <c r="BC13" s="118"/>
      <c r="BE13" s="118"/>
      <c r="BF13" s="118"/>
      <c r="BG13" s="118"/>
      <c r="BH13" s="118"/>
      <c r="BI13" s="118"/>
      <c r="BJ13" s="118"/>
      <c r="BK13" s="118"/>
      <c r="BL13" s="118"/>
      <c r="BM13" s="118"/>
      <c r="BN13" s="118"/>
      <c r="BQ13" s="119"/>
    </row>
    <row r="14" spans="2:69" ht="27.75" customHeight="1">
      <c r="B14" s="118"/>
      <c r="C14" s="118"/>
      <c r="D14" s="118"/>
      <c r="E14" s="118"/>
      <c r="F14" s="118"/>
      <c r="G14" s="118"/>
      <c r="H14" s="118"/>
      <c r="I14" s="120"/>
      <c r="J14" s="120"/>
      <c r="K14" s="120"/>
      <c r="L14" s="120"/>
      <c r="M14" s="120"/>
      <c r="N14" s="120"/>
      <c r="O14" s="120"/>
      <c r="P14" s="120"/>
      <c r="Q14" s="120"/>
      <c r="R14" s="120"/>
      <c r="S14" s="120"/>
      <c r="T14" s="120"/>
      <c r="U14" s="120"/>
      <c r="V14" s="120"/>
      <c r="W14" s="120"/>
      <c r="X14" s="120"/>
      <c r="Y14" s="120"/>
      <c r="Z14" s="120"/>
      <c r="AA14" s="120"/>
      <c r="AB14" s="120"/>
      <c r="AD14" s="120"/>
      <c r="AE14" s="120"/>
      <c r="AF14" s="118"/>
      <c r="AG14" s="177"/>
      <c r="AH14" s="177"/>
      <c r="AI14" s="177"/>
      <c r="AJ14" s="177"/>
      <c r="AK14" s="177"/>
      <c r="AL14" s="177"/>
      <c r="AM14" s="177"/>
      <c r="AO14" s="118"/>
      <c r="AP14" s="118"/>
      <c r="AQ14" s="118"/>
      <c r="AR14" s="118"/>
      <c r="AS14" s="118"/>
      <c r="AT14" s="118"/>
      <c r="AU14" s="118"/>
      <c r="AV14" s="118"/>
      <c r="AW14" s="118"/>
      <c r="AX14" s="118"/>
      <c r="AY14" s="118"/>
      <c r="AZ14" s="118"/>
      <c r="BA14" s="118"/>
      <c r="BB14" s="118"/>
      <c r="BC14" s="118"/>
      <c r="BE14" s="118"/>
      <c r="BF14" s="118"/>
      <c r="BG14" s="118"/>
      <c r="BH14" s="118"/>
      <c r="BI14" s="118"/>
      <c r="BJ14" s="118"/>
      <c r="BK14" s="118"/>
      <c r="BL14" s="118"/>
      <c r="BM14" s="118"/>
      <c r="BN14" s="118"/>
      <c r="BQ14" s="119"/>
    </row>
    <row r="15" spans="2:69" ht="27.75" customHeight="1">
      <c r="B15" s="118"/>
      <c r="C15" s="118"/>
      <c r="D15" s="118"/>
      <c r="E15" s="118"/>
      <c r="F15" s="118"/>
      <c r="G15" s="118"/>
      <c r="H15" s="118"/>
      <c r="I15" s="120"/>
      <c r="J15" s="120"/>
      <c r="K15" s="120"/>
      <c r="L15" s="120"/>
      <c r="M15" s="120"/>
      <c r="N15" s="120"/>
      <c r="O15" s="120"/>
      <c r="P15" s="120"/>
      <c r="Q15" s="120"/>
      <c r="R15" s="120"/>
      <c r="S15" s="120"/>
      <c r="T15" s="120"/>
      <c r="U15" s="120"/>
      <c r="V15" s="120"/>
      <c r="W15" s="120"/>
      <c r="X15" s="120"/>
      <c r="Y15" s="120"/>
      <c r="Z15" s="120"/>
      <c r="AA15" s="120"/>
      <c r="AB15" s="120"/>
      <c r="AD15" s="120"/>
      <c r="AE15" s="120"/>
      <c r="AF15" s="118"/>
      <c r="AG15" s="177"/>
      <c r="AH15" s="177"/>
      <c r="AI15" s="177"/>
      <c r="AJ15" s="177"/>
      <c r="AK15" s="177"/>
      <c r="AL15" s="177"/>
      <c r="AM15" s="177"/>
      <c r="AO15" s="118"/>
      <c r="AP15" s="118"/>
      <c r="AQ15" s="118"/>
      <c r="AR15" s="118"/>
      <c r="AS15" s="118"/>
      <c r="AT15" s="118"/>
      <c r="AU15" s="118"/>
      <c r="AV15" s="118"/>
      <c r="AW15" s="118"/>
      <c r="AX15" s="118"/>
      <c r="AY15" s="118"/>
      <c r="AZ15" s="118"/>
      <c r="BA15" s="118"/>
      <c r="BB15" s="118"/>
      <c r="BC15" s="118"/>
      <c r="BE15" s="118"/>
      <c r="BF15" s="118"/>
      <c r="BG15" s="118"/>
      <c r="BH15" s="118"/>
      <c r="BI15" s="118"/>
      <c r="BJ15" s="118"/>
      <c r="BK15" s="118"/>
      <c r="BL15" s="118"/>
      <c r="BM15" s="118"/>
      <c r="BN15" s="118"/>
      <c r="BQ15" s="119"/>
    </row>
    <row r="16" spans="2:69" ht="27.75" customHeight="1">
      <c r="B16" s="118"/>
      <c r="C16" s="118"/>
      <c r="D16" s="118"/>
      <c r="E16" s="118"/>
      <c r="F16" s="118"/>
      <c r="G16" s="118"/>
      <c r="H16" s="118"/>
      <c r="I16" s="120"/>
      <c r="J16" s="120"/>
      <c r="K16" s="120"/>
      <c r="L16" s="120"/>
      <c r="M16" s="120"/>
      <c r="N16" s="120"/>
      <c r="O16" s="120"/>
      <c r="P16" s="120"/>
      <c r="Q16" s="120"/>
      <c r="R16" s="120"/>
      <c r="S16" s="120"/>
      <c r="T16" s="120"/>
      <c r="U16" s="120"/>
      <c r="V16" s="120"/>
      <c r="W16" s="120"/>
      <c r="X16" s="120"/>
      <c r="Y16" s="120"/>
      <c r="Z16" s="120"/>
      <c r="AA16" s="120"/>
      <c r="AB16" s="120"/>
      <c r="AD16" s="120"/>
      <c r="AE16" s="120"/>
      <c r="AF16" s="118"/>
      <c r="AG16" s="177"/>
      <c r="AH16" s="177"/>
      <c r="AI16" s="177"/>
      <c r="AJ16" s="177"/>
      <c r="AK16" s="177"/>
      <c r="AL16" s="177"/>
      <c r="AM16" s="177"/>
      <c r="AO16" s="118"/>
      <c r="AP16" s="118"/>
      <c r="AQ16" s="118"/>
      <c r="AR16" s="118"/>
      <c r="AS16" s="118"/>
      <c r="AT16" s="118"/>
      <c r="AU16" s="118"/>
      <c r="AV16" s="118"/>
      <c r="AW16" s="118"/>
      <c r="AX16" s="118"/>
      <c r="AY16" s="118"/>
      <c r="AZ16" s="118"/>
      <c r="BA16" s="118"/>
      <c r="BB16" s="118"/>
      <c r="BC16" s="118"/>
      <c r="BE16" s="118"/>
      <c r="BF16" s="118"/>
      <c r="BG16" s="118"/>
      <c r="BH16" s="118"/>
      <c r="BI16" s="118"/>
      <c r="BJ16" s="118"/>
      <c r="BK16" s="118"/>
      <c r="BL16" s="118"/>
      <c r="BM16" s="118"/>
      <c r="BN16" s="118"/>
      <c r="BQ16" s="119"/>
    </row>
    <row r="17" spans="2:69" ht="27.75" customHeight="1">
      <c r="B17" s="118"/>
      <c r="C17" s="118"/>
      <c r="D17" s="118"/>
      <c r="E17" s="118"/>
      <c r="F17" s="118"/>
      <c r="G17" s="118"/>
      <c r="H17" s="118"/>
      <c r="I17" s="120"/>
      <c r="J17" s="120"/>
      <c r="K17" s="120"/>
      <c r="L17" s="120"/>
      <c r="M17" s="120"/>
      <c r="N17" s="120"/>
      <c r="O17" s="120"/>
      <c r="P17" s="120"/>
      <c r="Q17" s="120"/>
      <c r="R17" s="120"/>
      <c r="S17" s="120"/>
      <c r="T17" s="120"/>
      <c r="U17" s="120"/>
      <c r="V17" s="120"/>
      <c r="W17" s="120"/>
      <c r="X17" s="120"/>
      <c r="Y17" s="120"/>
      <c r="Z17" s="120"/>
      <c r="AA17" s="120"/>
      <c r="AB17" s="120"/>
      <c r="AD17" s="120"/>
      <c r="AE17" s="120"/>
      <c r="AF17" s="118"/>
      <c r="AG17" s="177"/>
      <c r="AH17" s="177"/>
      <c r="AI17" s="177"/>
      <c r="AJ17" s="177"/>
      <c r="AK17" s="177"/>
      <c r="AL17" s="177"/>
      <c r="AM17" s="177"/>
      <c r="AO17" s="118"/>
      <c r="AP17" s="118"/>
      <c r="AQ17" s="118"/>
      <c r="AR17" s="118"/>
      <c r="AS17" s="118"/>
      <c r="AT17" s="118"/>
      <c r="AU17" s="118"/>
      <c r="AV17" s="118"/>
      <c r="AW17" s="118"/>
      <c r="AX17" s="118"/>
      <c r="AY17" s="118"/>
      <c r="AZ17" s="118"/>
      <c r="BA17" s="118"/>
      <c r="BB17" s="118"/>
      <c r="BC17" s="118"/>
      <c r="BE17" s="118"/>
      <c r="BF17" s="118"/>
      <c r="BG17" s="118"/>
      <c r="BH17" s="118"/>
      <c r="BI17" s="118"/>
      <c r="BJ17" s="118"/>
      <c r="BK17" s="118"/>
      <c r="BL17" s="118"/>
      <c r="BM17" s="118"/>
      <c r="BN17" s="118"/>
      <c r="BQ17" s="119"/>
    </row>
    <row r="18" spans="2:69" ht="27.75" customHeight="1">
      <c r="B18" s="118"/>
      <c r="C18" s="118"/>
      <c r="D18" s="118"/>
      <c r="E18" s="118"/>
      <c r="F18" s="118"/>
      <c r="G18" s="118"/>
      <c r="H18" s="118"/>
      <c r="I18" s="120"/>
      <c r="J18" s="120"/>
      <c r="K18" s="120"/>
      <c r="L18" s="120"/>
      <c r="M18" s="120"/>
      <c r="N18" s="120"/>
      <c r="O18" s="120"/>
      <c r="P18" s="120"/>
      <c r="Q18" s="120"/>
      <c r="R18" s="120"/>
      <c r="S18" s="120"/>
      <c r="T18" s="120"/>
      <c r="U18" s="120"/>
      <c r="V18" s="120"/>
      <c r="W18" s="120"/>
      <c r="X18" s="120"/>
      <c r="Y18" s="120"/>
      <c r="Z18" s="120"/>
      <c r="AA18" s="120"/>
      <c r="AB18" s="120"/>
      <c r="AD18" s="120"/>
      <c r="AE18" s="120"/>
      <c r="AF18" s="118"/>
      <c r="AG18" s="177"/>
      <c r="AH18" s="177"/>
      <c r="AI18" s="177"/>
      <c r="AJ18" s="177"/>
      <c r="AK18" s="177"/>
      <c r="AL18" s="177"/>
      <c r="AM18" s="177"/>
      <c r="AO18" s="118"/>
      <c r="AP18" s="118"/>
      <c r="AQ18" s="118"/>
      <c r="AR18" s="118"/>
      <c r="AS18" s="118"/>
      <c r="AT18" s="118"/>
      <c r="AU18" s="118"/>
      <c r="AV18" s="118"/>
      <c r="AW18" s="118"/>
      <c r="AX18" s="118"/>
      <c r="AY18" s="118"/>
      <c r="AZ18" s="118"/>
      <c r="BA18" s="118"/>
      <c r="BB18" s="118"/>
      <c r="BC18" s="118"/>
      <c r="BE18" s="118"/>
      <c r="BF18" s="118"/>
      <c r="BG18" s="118"/>
      <c r="BH18" s="118"/>
      <c r="BI18" s="118"/>
      <c r="BJ18" s="118"/>
      <c r="BK18" s="118"/>
      <c r="BL18" s="118"/>
      <c r="BM18" s="118"/>
      <c r="BN18" s="118"/>
      <c r="BQ18" s="119"/>
    </row>
    <row r="19" spans="2:69" ht="27.75" customHeight="1">
      <c r="B19" s="118"/>
      <c r="C19" s="118"/>
      <c r="D19" s="118"/>
      <c r="E19" s="118"/>
      <c r="F19" s="118"/>
      <c r="G19" s="118"/>
      <c r="H19" s="118"/>
      <c r="I19" s="120"/>
      <c r="J19" s="120"/>
      <c r="K19" s="120"/>
      <c r="L19" s="120"/>
      <c r="M19" s="120"/>
      <c r="N19" s="120"/>
      <c r="O19" s="120"/>
      <c r="P19" s="120"/>
      <c r="Q19" s="120"/>
      <c r="R19" s="120"/>
      <c r="S19" s="120"/>
      <c r="T19" s="120"/>
      <c r="U19" s="120"/>
      <c r="V19" s="120"/>
      <c r="W19" s="120"/>
      <c r="X19" s="120"/>
      <c r="Y19" s="120"/>
      <c r="Z19" s="120"/>
      <c r="AA19" s="120"/>
      <c r="AB19" s="120"/>
      <c r="AD19" s="120"/>
      <c r="AE19" s="120"/>
      <c r="AF19" s="118"/>
      <c r="AG19" s="177"/>
      <c r="AH19" s="177"/>
      <c r="AI19" s="177"/>
      <c r="AJ19" s="177"/>
      <c r="AK19" s="177"/>
      <c r="AL19" s="177"/>
      <c r="AM19" s="177"/>
      <c r="AO19" s="118"/>
      <c r="AP19" s="118"/>
      <c r="AQ19" s="118"/>
      <c r="AR19" s="118"/>
      <c r="AS19" s="118"/>
      <c r="AT19" s="118"/>
      <c r="AU19" s="118"/>
      <c r="AV19" s="118"/>
      <c r="AW19" s="118"/>
      <c r="AX19" s="118"/>
      <c r="AY19" s="118"/>
      <c r="AZ19" s="118"/>
      <c r="BA19" s="118"/>
      <c r="BB19" s="118"/>
      <c r="BC19" s="118"/>
      <c r="BE19" s="118"/>
      <c r="BF19" s="118"/>
      <c r="BG19" s="118"/>
      <c r="BH19" s="118"/>
      <c r="BI19" s="118"/>
      <c r="BJ19" s="118"/>
      <c r="BK19" s="118"/>
      <c r="BL19" s="118"/>
      <c r="BM19" s="118"/>
      <c r="BN19" s="118"/>
      <c r="BQ19" s="119"/>
    </row>
    <row r="20" spans="2:69" ht="27.75" customHeight="1">
      <c r="B20" s="118"/>
      <c r="C20" s="118"/>
      <c r="D20" s="118"/>
      <c r="E20" s="118"/>
      <c r="F20" s="118"/>
      <c r="G20" s="118"/>
      <c r="H20" s="118"/>
      <c r="I20" s="120"/>
      <c r="J20" s="120"/>
      <c r="K20" s="120"/>
      <c r="L20" s="120"/>
      <c r="M20" s="120"/>
      <c r="N20" s="120"/>
      <c r="O20" s="120"/>
      <c r="P20" s="120"/>
      <c r="Q20" s="120"/>
      <c r="R20" s="120"/>
      <c r="S20" s="120"/>
      <c r="T20" s="120"/>
      <c r="U20" s="120"/>
      <c r="V20" s="120"/>
      <c r="W20" s="120"/>
      <c r="X20" s="120"/>
      <c r="Y20" s="120"/>
      <c r="Z20" s="120"/>
      <c r="AA20" s="120"/>
      <c r="AB20" s="120"/>
      <c r="AD20" s="120"/>
      <c r="AE20" s="120"/>
      <c r="AF20" s="118"/>
      <c r="AG20" s="177"/>
      <c r="AH20" s="177"/>
      <c r="AI20" s="177"/>
      <c r="AJ20" s="177"/>
      <c r="AK20" s="177"/>
      <c r="AL20" s="177"/>
      <c r="AM20" s="177"/>
      <c r="AO20" s="118"/>
      <c r="AP20" s="118"/>
      <c r="AQ20" s="118"/>
      <c r="AR20" s="118"/>
      <c r="AS20" s="118"/>
      <c r="AT20" s="118"/>
      <c r="AU20" s="118"/>
      <c r="AV20" s="118"/>
      <c r="AW20" s="118"/>
      <c r="AX20" s="118"/>
      <c r="AY20" s="118"/>
      <c r="AZ20" s="118"/>
      <c r="BA20" s="118"/>
      <c r="BB20" s="118"/>
      <c r="BC20" s="118"/>
      <c r="BE20" s="118"/>
      <c r="BF20" s="118"/>
      <c r="BG20" s="118"/>
      <c r="BH20" s="118"/>
      <c r="BI20" s="118"/>
      <c r="BJ20" s="118"/>
      <c r="BK20" s="118"/>
      <c r="BL20" s="118"/>
      <c r="BM20" s="118"/>
      <c r="BN20" s="118"/>
      <c r="BQ20" s="119"/>
    </row>
    <row r="21" spans="2:69" ht="27.75" customHeight="1">
      <c r="B21" s="118"/>
      <c r="C21" s="118"/>
      <c r="D21" s="118"/>
      <c r="E21" s="118"/>
      <c r="F21" s="118"/>
      <c r="G21" s="118"/>
      <c r="H21" s="118"/>
      <c r="I21" s="120"/>
      <c r="J21" s="120"/>
      <c r="K21" s="120"/>
      <c r="L21" s="120"/>
      <c r="M21" s="120"/>
      <c r="N21" s="120"/>
      <c r="O21" s="120"/>
      <c r="P21" s="120"/>
      <c r="Q21" s="120"/>
      <c r="R21" s="120"/>
      <c r="S21" s="120"/>
      <c r="T21" s="120"/>
      <c r="U21" s="120"/>
      <c r="V21" s="120"/>
      <c r="W21" s="120"/>
      <c r="X21" s="120"/>
      <c r="Y21" s="120"/>
      <c r="Z21" s="120"/>
      <c r="AA21" s="120"/>
      <c r="AB21" s="120"/>
      <c r="AD21" s="120"/>
      <c r="AE21" s="120"/>
      <c r="AF21" s="118"/>
      <c r="AG21" s="177"/>
      <c r="AH21" s="177"/>
      <c r="AI21" s="177"/>
      <c r="AJ21" s="177"/>
      <c r="AK21" s="177"/>
      <c r="AL21" s="177"/>
      <c r="AM21" s="177"/>
      <c r="AO21" s="118"/>
      <c r="AP21" s="118"/>
      <c r="AQ21" s="118"/>
      <c r="AR21" s="118"/>
      <c r="AS21" s="118"/>
      <c r="AT21" s="118"/>
      <c r="AU21" s="118"/>
      <c r="AV21" s="118"/>
      <c r="AW21" s="118"/>
      <c r="AX21" s="118"/>
      <c r="AY21" s="118"/>
      <c r="AZ21" s="118"/>
      <c r="BA21" s="118"/>
      <c r="BB21" s="118"/>
      <c r="BC21" s="118"/>
      <c r="BE21" s="118"/>
      <c r="BF21" s="118"/>
      <c r="BG21" s="118"/>
      <c r="BH21" s="118"/>
      <c r="BI21" s="118"/>
      <c r="BJ21" s="118"/>
      <c r="BK21" s="118"/>
      <c r="BL21" s="118"/>
      <c r="BM21" s="118"/>
      <c r="BN21" s="118"/>
      <c r="BQ21" s="119"/>
    </row>
    <row r="22" spans="2:69" ht="27.75" customHeight="1">
      <c r="B22" s="129"/>
      <c r="C22" s="130"/>
      <c r="D22" s="130"/>
      <c r="E22" s="130"/>
      <c r="F22" s="130"/>
      <c r="G22" s="130"/>
      <c r="H22" s="130"/>
      <c r="I22" s="130"/>
      <c r="J22" s="131"/>
      <c r="K22" s="132"/>
      <c r="L22" s="132"/>
      <c r="M22" s="132"/>
      <c r="N22" s="132"/>
      <c r="O22" s="132"/>
      <c r="P22" s="132"/>
      <c r="Q22" s="132"/>
      <c r="R22" s="132"/>
      <c r="S22" s="132"/>
      <c r="T22" s="132"/>
      <c r="U22" s="132"/>
      <c r="V22" s="132"/>
      <c r="W22" s="132"/>
      <c r="X22" s="131"/>
      <c r="Y22" s="132"/>
      <c r="Z22" s="132"/>
      <c r="AA22" s="132"/>
      <c r="AB22" s="132"/>
      <c r="AC22" s="132"/>
      <c r="AD22" s="132"/>
      <c r="AE22" s="132"/>
      <c r="AF22" s="133"/>
      <c r="AG22" s="179"/>
      <c r="AH22" s="179"/>
      <c r="AI22" s="179"/>
      <c r="AJ22" s="179"/>
      <c r="AK22" s="179"/>
      <c r="AL22" s="179"/>
      <c r="AM22" s="180"/>
      <c r="AN22" s="239"/>
      <c r="AO22" s="239"/>
      <c r="AP22" s="239"/>
      <c r="AQ22" s="239"/>
      <c r="AR22" s="239"/>
      <c r="AS22" s="239"/>
      <c r="AT22" s="239"/>
      <c r="AU22" s="118"/>
      <c r="AV22" s="118"/>
      <c r="AW22" s="118"/>
      <c r="AX22" s="118"/>
      <c r="AY22" s="118"/>
      <c r="AZ22" s="118"/>
      <c r="BA22" s="118"/>
      <c r="BB22" s="118"/>
      <c r="BC22" s="118"/>
      <c r="BE22" s="118"/>
      <c r="BF22" s="118"/>
      <c r="BG22" s="118"/>
      <c r="BH22" s="118"/>
      <c r="BI22" s="118"/>
      <c r="BJ22" s="118"/>
      <c r="BK22" s="118"/>
      <c r="BL22" s="118"/>
      <c r="BM22" s="118"/>
      <c r="BN22" s="118"/>
      <c r="BO22" s="119"/>
      <c r="BQ22" s="119"/>
    </row>
    <row r="23" spans="1:69" ht="27.75" customHeight="1">
      <c r="A23" s="134"/>
      <c r="B23" s="135"/>
      <c r="C23" s="136"/>
      <c r="D23" s="136"/>
      <c r="E23" s="136"/>
      <c r="F23" s="136"/>
      <c r="G23" s="136"/>
      <c r="H23" s="136"/>
      <c r="I23" s="136"/>
      <c r="J23" s="137"/>
      <c r="K23" s="136"/>
      <c r="L23" s="136"/>
      <c r="M23" s="138"/>
      <c r="N23" s="136"/>
      <c r="O23" s="136"/>
      <c r="P23" s="136"/>
      <c r="Q23" s="136"/>
      <c r="R23" s="136"/>
      <c r="S23" s="136"/>
      <c r="T23" s="138"/>
      <c r="U23" s="138"/>
      <c r="V23" s="138"/>
      <c r="W23" s="138"/>
      <c r="X23" s="137"/>
      <c r="Y23" s="138"/>
      <c r="Z23" s="138"/>
      <c r="AA23" s="138"/>
      <c r="AB23" s="138"/>
      <c r="AC23" s="138"/>
      <c r="AD23" s="138"/>
      <c r="AE23" s="138"/>
      <c r="AF23" s="137"/>
      <c r="AG23" s="181"/>
      <c r="AH23" s="181"/>
      <c r="AI23" s="181"/>
      <c r="AJ23" s="181"/>
      <c r="AK23" s="181"/>
      <c r="AL23" s="181"/>
      <c r="AM23" s="182"/>
      <c r="AN23" s="240"/>
      <c r="AO23" s="240"/>
      <c r="AP23" s="240"/>
      <c r="AQ23" s="240"/>
      <c r="AR23" s="240"/>
      <c r="AS23" s="240"/>
      <c r="AT23" s="240"/>
      <c r="AU23" s="118"/>
      <c r="AV23" s="118"/>
      <c r="AW23" s="118"/>
      <c r="AX23" s="118"/>
      <c r="AY23" s="118"/>
      <c r="AZ23" s="118"/>
      <c r="BA23" s="118"/>
      <c r="BB23" s="118"/>
      <c r="BC23" s="118"/>
      <c r="BE23" s="118"/>
      <c r="BF23" s="118"/>
      <c r="BG23" s="118"/>
      <c r="BH23" s="118"/>
      <c r="BI23" s="118"/>
      <c r="BJ23" s="118"/>
      <c r="BK23" s="118"/>
      <c r="BL23" s="118"/>
      <c r="BM23" s="118"/>
      <c r="BN23" s="118"/>
      <c r="BO23" s="119"/>
      <c r="BQ23" s="119"/>
    </row>
    <row r="24" spans="2:69" ht="21.75" customHeight="1">
      <c r="B24" s="139"/>
      <c r="C24" s="139"/>
      <c r="D24" s="139"/>
      <c r="E24" s="139"/>
      <c r="F24" s="241" t="s">
        <v>53</v>
      </c>
      <c r="G24" s="241"/>
      <c r="H24" s="241" t="s">
        <v>54</v>
      </c>
      <c r="I24" s="241" t="s">
        <v>55</v>
      </c>
      <c r="J24" s="241" t="s">
        <v>56</v>
      </c>
      <c r="K24" s="241"/>
      <c r="L24" s="242" t="s">
        <v>57</v>
      </c>
      <c r="M24" s="242" t="s">
        <v>58</v>
      </c>
      <c r="N24" s="243" t="s">
        <v>59</v>
      </c>
      <c r="O24" s="243" t="s">
        <v>60</v>
      </c>
      <c r="P24" s="244" t="s">
        <v>61</v>
      </c>
      <c r="Q24" s="244" t="s">
        <v>58</v>
      </c>
      <c r="R24" s="245" t="s">
        <v>62</v>
      </c>
      <c r="S24" s="245" t="s">
        <v>60</v>
      </c>
      <c r="T24" s="139"/>
      <c r="U24" s="139"/>
      <c r="V24" s="139"/>
      <c r="W24" s="139"/>
      <c r="X24" s="140"/>
      <c r="Y24" s="139"/>
      <c r="Z24" s="139"/>
      <c r="AA24" s="139"/>
      <c r="AB24" s="139"/>
      <c r="AC24" s="141"/>
      <c r="AD24" s="139"/>
      <c r="AE24" s="139"/>
      <c r="AF24" s="142"/>
      <c r="AG24" s="183"/>
      <c r="AH24" s="183"/>
      <c r="AI24" s="183"/>
      <c r="AJ24" s="183"/>
      <c r="AK24" s="183"/>
      <c r="AL24" s="183"/>
      <c r="AM24" s="184"/>
      <c r="AN24" s="139"/>
      <c r="AO24" s="139"/>
      <c r="AP24" s="139"/>
      <c r="AQ24" s="139"/>
      <c r="AR24" s="139"/>
      <c r="AS24" s="139"/>
      <c r="AT24" s="139"/>
      <c r="AU24" s="118"/>
      <c r="AV24" s="118"/>
      <c r="AW24" s="118"/>
      <c r="AX24" s="118"/>
      <c r="AY24" s="118"/>
      <c r="AZ24" s="118"/>
      <c r="BA24" s="118"/>
      <c r="BB24" s="118"/>
      <c r="BC24" s="118"/>
      <c r="BE24" s="118"/>
      <c r="BF24" s="118"/>
      <c r="BG24" s="118"/>
      <c r="BH24" s="118"/>
      <c r="BI24" s="118"/>
      <c r="BJ24" s="118"/>
      <c r="BK24" s="118"/>
      <c r="BL24" s="118"/>
      <c r="BM24" s="118"/>
      <c r="BN24" s="118"/>
      <c r="BO24" s="119"/>
      <c r="BQ24" s="119"/>
    </row>
    <row r="25" spans="2:69" ht="16.5">
      <c r="B25" s="118"/>
      <c r="C25" s="118"/>
      <c r="D25" s="118"/>
      <c r="E25" s="118"/>
      <c r="F25" s="143"/>
      <c r="G25" s="144"/>
      <c r="H25" s="144"/>
      <c r="I25" s="145"/>
      <c r="J25" s="145"/>
      <c r="K25" s="146" t="s">
        <v>63</v>
      </c>
      <c r="L25" s="238">
        <f>SUMPRODUCT((saisie!$AC$15:$AC$46="o")*(saisie!$AD$15:$AD$46&lt;0.25))*1</f>
        <v>0</v>
      </c>
      <c r="M25" s="238" t="e">
        <f>SUMPRODUCT((#REF!&gt;=W23)*(#REF!&lt;X23))</f>
        <v>#REF!</v>
      </c>
      <c r="N25" s="238">
        <f>SUMPRODUCT((saisie!$AC$15:$AC$46="o")*(saisie!$AD$15:$AD$46&lt;0.5))*1-$L$25</f>
        <v>9</v>
      </c>
      <c r="O25" s="238" t="e">
        <f>NA()</f>
        <v>#N/A</v>
      </c>
      <c r="P25" s="238">
        <f>SUMPRODUCT((saisie!$AC$15:$AC$46="o")*(saisie!$AD$15:$AD$46&lt;0.75))*1-($L$25+$N$25)</f>
        <v>10</v>
      </c>
      <c r="Q25" s="238"/>
      <c r="R25" s="238">
        <f>SUMPRODUCT((saisie!$AC$15:$AC$46="o")*(saisie!$AD$15:$AD$46&gt;=0.75))*1</f>
        <v>7</v>
      </c>
      <c r="S25" s="238"/>
      <c r="T25" s="147">
        <f>L25+N25+P25+R25</f>
        <v>26</v>
      </c>
      <c r="U25" s="120"/>
      <c r="V25" s="120"/>
      <c r="W25" s="120"/>
      <c r="X25" s="120"/>
      <c r="Y25" s="120"/>
      <c r="Z25" s="120"/>
      <c r="AA25" s="120"/>
      <c r="AB25" s="120"/>
      <c r="AD25" s="120"/>
      <c r="AE25" s="120"/>
      <c r="AF25" s="118"/>
      <c r="AG25" s="177"/>
      <c r="AH25" s="177"/>
      <c r="AI25" s="177"/>
      <c r="AJ25" s="177"/>
      <c r="AK25" s="177"/>
      <c r="AL25" s="177"/>
      <c r="AM25" s="177"/>
      <c r="AO25" s="118"/>
      <c r="AP25" s="118"/>
      <c r="AQ25" s="118"/>
      <c r="AR25" s="118"/>
      <c r="AS25" s="118"/>
      <c r="AT25" s="118"/>
      <c r="AU25" s="118"/>
      <c r="AV25" s="118"/>
      <c r="AW25" s="118"/>
      <c r="AX25" s="118"/>
      <c r="AY25" s="118"/>
      <c r="AZ25" s="118"/>
      <c r="BA25" s="118"/>
      <c r="BB25" s="118"/>
      <c r="BC25" s="118"/>
      <c r="BE25" s="118"/>
      <c r="BF25" s="118"/>
      <c r="BG25" s="118"/>
      <c r="BH25" s="118"/>
      <c r="BI25" s="118"/>
      <c r="BJ25" s="118"/>
      <c r="BK25" s="118"/>
      <c r="BL25" s="118"/>
      <c r="BM25" s="118"/>
      <c r="BN25" s="118"/>
      <c r="BQ25" s="119"/>
    </row>
    <row r="26" spans="2:69" ht="16.5">
      <c r="B26" s="118"/>
      <c r="C26" s="118"/>
      <c r="D26" s="118"/>
      <c r="E26" s="118"/>
      <c r="F26" s="143"/>
      <c r="G26" s="144"/>
      <c r="H26" s="144"/>
      <c r="I26" s="145"/>
      <c r="J26" s="145"/>
      <c r="K26" s="146" t="s">
        <v>64</v>
      </c>
      <c r="L26" s="232">
        <f>L25/T25</f>
        <v>0</v>
      </c>
      <c r="M26" s="232" t="e">
        <f>M25/U25%</f>
        <v>#REF!</v>
      </c>
      <c r="N26" s="232">
        <f>N25/T25</f>
        <v>0.34615384615384615</v>
      </c>
      <c r="O26" s="232"/>
      <c r="P26" s="232">
        <f>P25/T25</f>
        <v>0.38461538461538464</v>
      </c>
      <c r="Q26" s="232"/>
      <c r="R26" s="232">
        <f>R25/T25</f>
        <v>0.2692307692307692</v>
      </c>
      <c r="S26" s="232"/>
      <c r="T26" s="148"/>
      <c r="U26" s="120"/>
      <c r="V26" s="120"/>
      <c r="W26" s="120"/>
      <c r="X26" s="120"/>
      <c r="Y26" s="120"/>
      <c r="Z26" s="120"/>
      <c r="AA26" s="120"/>
      <c r="AB26" s="120"/>
      <c r="AD26" s="120"/>
      <c r="AE26" s="120"/>
      <c r="AF26" s="118"/>
      <c r="AG26" s="177"/>
      <c r="AH26" s="187">
        <f>L26</f>
        <v>0</v>
      </c>
      <c r="AI26" s="187">
        <f>N26</f>
        <v>0.34615384615384615</v>
      </c>
      <c r="AJ26" s="187">
        <f>P26</f>
        <v>0.38461538461538464</v>
      </c>
      <c r="AK26" s="187">
        <f>R26</f>
        <v>0.2692307692307692</v>
      </c>
      <c r="AL26" s="185"/>
      <c r="AM26" s="177"/>
      <c r="AO26" s="118"/>
      <c r="AP26" s="118"/>
      <c r="AQ26" s="118"/>
      <c r="AR26" s="118"/>
      <c r="AS26" s="118"/>
      <c r="AT26" s="118"/>
      <c r="AU26" s="118"/>
      <c r="AV26" s="118"/>
      <c r="AW26" s="118"/>
      <c r="AX26" s="118"/>
      <c r="AY26" s="118"/>
      <c r="AZ26" s="118"/>
      <c r="BA26" s="118"/>
      <c r="BB26" s="118"/>
      <c r="BC26" s="118"/>
      <c r="BE26" s="118"/>
      <c r="BF26" s="118"/>
      <c r="BG26" s="118"/>
      <c r="BH26" s="118"/>
      <c r="BI26" s="118"/>
      <c r="BJ26" s="118"/>
      <c r="BK26" s="118"/>
      <c r="BL26" s="118"/>
      <c r="BM26" s="118"/>
      <c r="BN26" s="118"/>
      <c r="BQ26" s="119"/>
    </row>
    <row r="27" spans="2:69" ht="27.75" customHeight="1">
      <c r="B27" s="118"/>
      <c r="C27" s="118"/>
      <c r="D27" s="118"/>
      <c r="E27" s="118"/>
      <c r="F27" s="118"/>
      <c r="G27" s="118"/>
      <c r="H27" s="118"/>
      <c r="I27" s="120"/>
      <c r="J27" s="120"/>
      <c r="K27" s="120"/>
      <c r="L27" s="120"/>
      <c r="M27" s="120"/>
      <c r="N27" s="120"/>
      <c r="O27" s="120"/>
      <c r="P27" s="120"/>
      <c r="Q27" s="120"/>
      <c r="R27" s="120"/>
      <c r="S27" s="120"/>
      <c r="T27" s="148"/>
      <c r="U27" s="120"/>
      <c r="V27" s="120"/>
      <c r="W27" s="120"/>
      <c r="X27" s="120"/>
      <c r="Y27" s="120"/>
      <c r="Z27" s="120"/>
      <c r="AA27" s="120"/>
      <c r="AB27" s="120"/>
      <c r="AD27" s="120"/>
      <c r="AE27" s="120"/>
      <c r="AF27" s="118"/>
      <c r="AG27" s="177"/>
      <c r="AH27" s="177"/>
      <c r="AI27" s="177"/>
      <c r="AJ27" s="177"/>
      <c r="AK27" s="177"/>
      <c r="AL27" s="177"/>
      <c r="AM27" s="177"/>
      <c r="AO27" s="118"/>
      <c r="AP27" s="118"/>
      <c r="AQ27" s="118"/>
      <c r="AR27" s="118"/>
      <c r="AS27" s="118"/>
      <c r="AT27" s="118"/>
      <c r="AU27" s="118"/>
      <c r="AV27" s="118"/>
      <c r="AW27" s="118"/>
      <c r="AX27" s="118"/>
      <c r="AY27" s="118"/>
      <c r="AZ27" s="118"/>
      <c r="BA27" s="118"/>
      <c r="BB27" s="118"/>
      <c r="BC27" s="118"/>
      <c r="BE27" s="118"/>
      <c r="BF27" s="118"/>
      <c r="BG27" s="118"/>
      <c r="BH27" s="118"/>
      <c r="BI27" s="118"/>
      <c r="BJ27" s="118"/>
      <c r="BK27" s="118"/>
      <c r="BL27" s="118"/>
      <c r="BM27" s="118"/>
      <c r="BN27" s="118"/>
      <c r="BQ27" s="119"/>
    </row>
    <row r="28" spans="2:69" ht="12.75" customHeight="1">
      <c r="B28" s="118"/>
      <c r="C28" s="118"/>
      <c r="D28" s="118"/>
      <c r="E28" s="118"/>
      <c r="F28" s="233" t="s">
        <v>16</v>
      </c>
      <c r="G28" s="233"/>
      <c r="H28" s="233" t="s">
        <v>65</v>
      </c>
      <c r="I28" s="233" t="s">
        <v>55</v>
      </c>
      <c r="J28" s="233" t="s">
        <v>56</v>
      </c>
      <c r="K28" s="233"/>
      <c r="L28" s="234" t="s">
        <v>57</v>
      </c>
      <c r="M28" s="234" t="s">
        <v>58</v>
      </c>
      <c r="N28" s="235" t="s">
        <v>59</v>
      </c>
      <c r="O28" s="235" t="s">
        <v>60</v>
      </c>
      <c r="P28" s="236" t="s">
        <v>61</v>
      </c>
      <c r="Q28" s="236" t="s">
        <v>58</v>
      </c>
      <c r="R28" s="237" t="s">
        <v>62</v>
      </c>
      <c r="S28" s="237" t="s">
        <v>60</v>
      </c>
      <c r="T28" s="148"/>
      <c r="U28" s="120"/>
      <c r="V28" s="120"/>
      <c r="W28" s="120"/>
      <c r="X28" s="120"/>
      <c r="Y28" s="120"/>
      <c r="Z28" s="120"/>
      <c r="AA28" s="120"/>
      <c r="AB28" s="120"/>
      <c r="AD28" s="120"/>
      <c r="AE28" s="120"/>
      <c r="AF28" s="118"/>
      <c r="AG28" s="177"/>
      <c r="AH28" s="177"/>
      <c r="AI28" s="177"/>
      <c r="AJ28" s="177"/>
      <c r="AK28" s="177"/>
      <c r="AL28" s="177"/>
      <c r="AM28" s="177"/>
      <c r="AO28" s="118"/>
      <c r="AP28" s="118"/>
      <c r="AQ28" s="118"/>
      <c r="AR28" s="118"/>
      <c r="AS28" s="118"/>
      <c r="AT28" s="118"/>
      <c r="AU28" s="118"/>
      <c r="AV28" s="118"/>
      <c r="AW28" s="118"/>
      <c r="AX28" s="118"/>
      <c r="AY28" s="118"/>
      <c r="AZ28" s="118"/>
      <c r="BA28" s="118"/>
      <c r="BB28" s="118"/>
      <c r="BC28" s="118"/>
      <c r="BE28" s="118"/>
      <c r="BF28" s="118"/>
      <c r="BG28" s="118"/>
      <c r="BH28" s="118"/>
      <c r="BI28" s="118"/>
      <c r="BJ28" s="118"/>
      <c r="BK28" s="118"/>
      <c r="BL28" s="118"/>
      <c r="BM28" s="118"/>
      <c r="BN28" s="118"/>
      <c r="BQ28" s="119"/>
    </row>
    <row r="29" spans="2:69" ht="16.5">
      <c r="B29" s="118"/>
      <c r="C29" s="118"/>
      <c r="D29" s="118"/>
      <c r="E29" s="118"/>
      <c r="F29" s="143"/>
      <c r="G29" s="144"/>
      <c r="H29" s="144"/>
      <c r="I29" s="145"/>
      <c r="J29" s="145"/>
      <c r="K29" s="146" t="s">
        <v>63</v>
      </c>
      <c r="L29" s="238">
        <f>SUMPRODUCT((saisie!$AC$15:$AC$46="o")*(saisie!$X$15:$X$46&lt;0.25))*1</f>
        <v>0</v>
      </c>
      <c r="M29" s="238" t="e">
        <f>SUMPRODUCT((#REF!&gt;=W27)*(#REF!&lt;X27))</f>
        <v>#REF!</v>
      </c>
      <c r="N29" s="238">
        <f>SUMPRODUCT((saisie!$AC$15:$AC$46="o")*(saisie!$X$15:$X$46&lt;0.5))*1-$L$29</f>
        <v>3</v>
      </c>
      <c r="O29" s="238" t="e">
        <f>NA()</f>
        <v>#N/A</v>
      </c>
      <c r="P29" s="238">
        <f>SUMPRODUCT((saisie!$AC$15:$AC$46="o")*(saisie!$X$15:$X$46&lt;0.75))*1-($L$29+$N$29)</f>
        <v>5</v>
      </c>
      <c r="Q29" s="238"/>
      <c r="R29" s="238">
        <f>SUMPRODUCT((saisie!$AC$15:$AC$46="o")*(saisie!$X$15:$X$46&gt;=0.75))*1</f>
        <v>18</v>
      </c>
      <c r="S29" s="238"/>
      <c r="T29" s="147">
        <f>L29+N29+P29+R29</f>
        <v>26</v>
      </c>
      <c r="U29" s="120"/>
      <c r="V29" s="120"/>
      <c r="W29" s="120"/>
      <c r="X29" s="120"/>
      <c r="Y29" s="120"/>
      <c r="Z29" s="120"/>
      <c r="AA29" s="120"/>
      <c r="AB29" s="120"/>
      <c r="AD29" s="120"/>
      <c r="AE29" s="120"/>
      <c r="AF29" s="118"/>
      <c r="AG29" s="177"/>
      <c r="AH29" s="177"/>
      <c r="AI29" s="177"/>
      <c r="AJ29" s="177"/>
      <c r="AK29" s="177"/>
      <c r="AL29" s="177"/>
      <c r="AM29" s="177"/>
      <c r="AO29" s="118"/>
      <c r="AP29" s="118"/>
      <c r="AQ29" s="118"/>
      <c r="AR29" s="118"/>
      <c r="AS29" s="118"/>
      <c r="AT29" s="118"/>
      <c r="AU29" s="118"/>
      <c r="AV29" s="118"/>
      <c r="AW29" s="118"/>
      <c r="AX29" s="118"/>
      <c r="AY29" s="118"/>
      <c r="AZ29" s="118"/>
      <c r="BA29" s="118"/>
      <c r="BB29" s="118"/>
      <c r="BC29" s="118"/>
      <c r="BE29" s="118"/>
      <c r="BF29" s="118"/>
      <c r="BG29" s="118"/>
      <c r="BH29" s="118"/>
      <c r="BI29" s="118"/>
      <c r="BJ29" s="118"/>
      <c r="BK29" s="118"/>
      <c r="BL29" s="118"/>
      <c r="BM29" s="118"/>
      <c r="BN29" s="118"/>
      <c r="BQ29" s="119"/>
    </row>
    <row r="30" spans="2:69" ht="16.5">
      <c r="B30" s="118"/>
      <c r="C30" s="118"/>
      <c r="D30" s="118"/>
      <c r="E30" s="118"/>
      <c r="F30" s="143"/>
      <c r="G30" s="144"/>
      <c r="H30" s="144"/>
      <c r="I30" s="145"/>
      <c r="J30" s="145"/>
      <c r="K30" s="146" t="s">
        <v>64</v>
      </c>
      <c r="L30" s="232">
        <f>L29/T29</f>
        <v>0</v>
      </c>
      <c r="M30" s="232" t="e">
        <f>M29/U29%</f>
        <v>#REF!</v>
      </c>
      <c r="N30" s="232">
        <f>N29/T29</f>
        <v>0.11538461538461539</v>
      </c>
      <c r="O30" s="232"/>
      <c r="P30" s="232">
        <f>P29/T29</f>
        <v>0.19230769230769232</v>
      </c>
      <c r="Q30" s="232"/>
      <c r="R30" s="232">
        <f>R29/T29</f>
        <v>0.6923076923076923</v>
      </c>
      <c r="S30" s="232"/>
      <c r="T30" s="148"/>
      <c r="U30" s="120"/>
      <c r="V30" s="120"/>
      <c r="W30" s="120"/>
      <c r="X30" s="120"/>
      <c r="Y30" s="120"/>
      <c r="Z30" s="120"/>
      <c r="AA30" s="120"/>
      <c r="AB30" s="120"/>
      <c r="AD30" s="120"/>
      <c r="AE30" s="120"/>
      <c r="AF30" s="118"/>
      <c r="AG30" s="177"/>
      <c r="AH30" s="187">
        <f>L30</f>
        <v>0</v>
      </c>
      <c r="AI30" s="187">
        <f>N30</f>
        <v>0.11538461538461539</v>
      </c>
      <c r="AJ30" s="187">
        <f>P30</f>
        <v>0.19230769230769232</v>
      </c>
      <c r="AK30" s="187">
        <f>R30</f>
        <v>0.6923076923076923</v>
      </c>
      <c r="AL30" s="177"/>
      <c r="AM30" s="177"/>
      <c r="AO30" s="118"/>
      <c r="AP30" s="118"/>
      <c r="AQ30" s="118"/>
      <c r="AR30" s="118"/>
      <c r="AS30" s="118"/>
      <c r="AT30" s="118"/>
      <c r="AU30" s="118"/>
      <c r="AV30" s="118"/>
      <c r="AW30" s="118"/>
      <c r="AX30" s="118"/>
      <c r="AY30" s="118"/>
      <c r="AZ30" s="118"/>
      <c r="BA30" s="118"/>
      <c r="BB30" s="118"/>
      <c r="BC30" s="118"/>
      <c r="BE30" s="118"/>
      <c r="BF30" s="118"/>
      <c r="BG30" s="118"/>
      <c r="BH30" s="118"/>
      <c r="BI30" s="118"/>
      <c r="BJ30" s="118"/>
      <c r="BK30" s="118"/>
      <c r="BL30" s="118"/>
      <c r="BM30" s="118"/>
      <c r="BN30" s="118"/>
      <c r="BQ30" s="119"/>
    </row>
    <row r="31" spans="2:69" ht="27.75" customHeight="1">
      <c r="B31" s="118"/>
      <c r="C31" s="118"/>
      <c r="D31" s="118"/>
      <c r="E31" s="118"/>
      <c r="F31" s="118"/>
      <c r="G31" s="118"/>
      <c r="H31" s="118"/>
      <c r="I31" s="120"/>
      <c r="J31" s="120"/>
      <c r="K31" s="120"/>
      <c r="L31" s="120"/>
      <c r="M31" s="120"/>
      <c r="N31" s="120"/>
      <c r="O31" s="120"/>
      <c r="P31" s="120"/>
      <c r="Q31" s="120"/>
      <c r="R31" s="120"/>
      <c r="S31" s="120"/>
      <c r="T31" s="148"/>
      <c r="U31" s="120"/>
      <c r="V31" s="120"/>
      <c r="W31" s="120"/>
      <c r="X31" s="120"/>
      <c r="Y31" s="120"/>
      <c r="Z31" s="120"/>
      <c r="AA31" s="120"/>
      <c r="AB31" s="120"/>
      <c r="AD31" s="120"/>
      <c r="AE31" s="120"/>
      <c r="AF31" s="118"/>
      <c r="AG31" s="177"/>
      <c r="AH31" s="177"/>
      <c r="AI31" s="177"/>
      <c r="AJ31" s="177"/>
      <c r="AK31" s="177"/>
      <c r="AL31" s="177"/>
      <c r="AM31" s="177"/>
      <c r="AO31" s="118"/>
      <c r="AP31" s="118"/>
      <c r="AQ31" s="118"/>
      <c r="AR31" s="118"/>
      <c r="AS31" s="118"/>
      <c r="AT31" s="118"/>
      <c r="AU31" s="118"/>
      <c r="AV31" s="118"/>
      <c r="AW31" s="118"/>
      <c r="AX31" s="118"/>
      <c r="AY31" s="118"/>
      <c r="AZ31" s="118"/>
      <c r="BA31" s="118"/>
      <c r="BB31" s="118"/>
      <c r="BC31" s="118"/>
      <c r="BE31" s="118"/>
      <c r="BF31" s="118"/>
      <c r="BG31" s="118"/>
      <c r="BH31" s="118"/>
      <c r="BI31" s="118"/>
      <c r="BJ31" s="118"/>
      <c r="BK31" s="118"/>
      <c r="BL31" s="118"/>
      <c r="BM31" s="118"/>
      <c r="BN31" s="118"/>
      <c r="BQ31" s="119"/>
    </row>
    <row r="32" spans="2:69" ht="12.75" customHeight="1">
      <c r="B32" s="118"/>
      <c r="C32" s="118"/>
      <c r="D32" s="118"/>
      <c r="E32" s="118"/>
      <c r="F32" s="233" t="s">
        <v>17</v>
      </c>
      <c r="G32" s="233"/>
      <c r="H32" s="233" t="s">
        <v>65</v>
      </c>
      <c r="I32" s="233" t="s">
        <v>55</v>
      </c>
      <c r="J32" s="233" t="s">
        <v>56</v>
      </c>
      <c r="K32" s="233"/>
      <c r="L32" s="234" t="s">
        <v>57</v>
      </c>
      <c r="M32" s="234" t="s">
        <v>58</v>
      </c>
      <c r="N32" s="235" t="s">
        <v>59</v>
      </c>
      <c r="O32" s="235" t="s">
        <v>60</v>
      </c>
      <c r="P32" s="236" t="s">
        <v>61</v>
      </c>
      <c r="Q32" s="236" t="s">
        <v>58</v>
      </c>
      <c r="R32" s="237" t="s">
        <v>62</v>
      </c>
      <c r="S32" s="237" t="s">
        <v>60</v>
      </c>
      <c r="T32" s="148"/>
      <c r="U32" s="120"/>
      <c r="V32" s="120"/>
      <c r="W32" s="120"/>
      <c r="X32" s="120"/>
      <c r="Y32" s="120"/>
      <c r="Z32" s="120"/>
      <c r="AA32" s="120"/>
      <c r="AB32" s="120"/>
      <c r="AD32" s="120"/>
      <c r="AE32" s="120"/>
      <c r="AF32" s="118"/>
      <c r="AG32" s="177"/>
      <c r="AH32" s="177"/>
      <c r="AI32" s="177"/>
      <c r="AJ32" s="177"/>
      <c r="AK32" s="177"/>
      <c r="AL32" s="177"/>
      <c r="AM32" s="177"/>
      <c r="AO32" s="118"/>
      <c r="AP32" s="118"/>
      <c r="AQ32" s="118"/>
      <c r="AR32" s="118"/>
      <c r="AS32" s="118"/>
      <c r="AT32" s="118"/>
      <c r="AU32" s="118"/>
      <c r="AV32" s="118"/>
      <c r="AW32" s="118"/>
      <c r="AX32" s="118"/>
      <c r="AY32" s="118"/>
      <c r="AZ32" s="118"/>
      <c r="BA32" s="118"/>
      <c r="BB32" s="118"/>
      <c r="BC32" s="118"/>
      <c r="BE32" s="118"/>
      <c r="BF32" s="118"/>
      <c r="BG32" s="118"/>
      <c r="BH32" s="118"/>
      <c r="BI32" s="118"/>
      <c r="BJ32" s="118"/>
      <c r="BK32" s="118"/>
      <c r="BL32" s="118"/>
      <c r="BM32" s="118"/>
      <c r="BN32" s="118"/>
      <c r="BQ32" s="119"/>
    </row>
    <row r="33" spans="2:69" ht="16.5">
      <c r="B33" s="118"/>
      <c r="C33" s="118"/>
      <c r="D33" s="118"/>
      <c r="E33" s="118"/>
      <c r="F33" s="143"/>
      <c r="G33" s="144"/>
      <c r="H33" s="144"/>
      <c r="I33" s="145"/>
      <c r="J33" s="145"/>
      <c r="K33" s="146" t="s">
        <v>63</v>
      </c>
      <c r="L33" s="238">
        <f>SUMPRODUCT((saisie!$AC$15:$AC$46="o")*(saisie!$Y$15:$Y$46&lt;0.25))*1</f>
        <v>0</v>
      </c>
      <c r="M33" s="238" t="e">
        <f>SUMPRODUCT((#REF!&gt;=W31)*(#REF!&lt;X31))</f>
        <v>#REF!</v>
      </c>
      <c r="N33" s="238">
        <f>SUMPRODUCT((saisie!$AC$15:$AC$46="o")*(saisie!$Y$15:$Y$46&lt;0.5))*1-$L$33</f>
        <v>0</v>
      </c>
      <c r="O33" s="238" t="e">
        <f>NA()</f>
        <v>#N/A</v>
      </c>
      <c r="P33" s="238">
        <f>SUMPRODUCT((saisie!$AC$15:$AC$46="o")*(saisie!$Y$15:$Y$46&lt;0.75))*1-($L$33+$N$33)</f>
        <v>9</v>
      </c>
      <c r="Q33" s="238"/>
      <c r="R33" s="238">
        <f>SUMPRODUCT((saisie!$AC$15:$AC$46="o")*(saisie!$Y$15:$Y$46&gt;=0.75))*1</f>
        <v>17</v>
      </c>
      <c r="S33" s="238"/>
      <c r="T33" s="147">
        <f>L33+N33+P33+R33</f>
        <v>26</v>
      </c>
      <c r="U33" s="120"/>
      <c r="V33" s="120"/>
      <c r="W33" s="120"/>
      <c r="X33" s="120"/>
      <c r="Y33" s="120"/>
      <c r="Z33" s="120"/>
      <c r="AA33" s="120"/>
      <c r="AB33" s="120"/>
      <c r="AD33" s="120"/>
      <c r="AE33" s="120"/>
      <c r="AF33" s="118"/>
      <c r="AG33" s="177"/>
      <c r="AH33" s="177"/>
      <c r="AI33" s="177"/>
      <c r="AJ33" s="177"/>
      <c r="AK33" s="177"/>
      <c r="AL33" s="177"/>
      <c r="AM33" s="177"/>
      <c r="AO33" s="118"/>
      <c r="AP33" s="118"/>
      <c r="AQ33" s="118"/>
      <c r="AR33" s="118"/>
      <c r="AS33" s="118"/>
      <c r="AT33" s="118"/>
      <c r="AU33" s="118"/>
      <c r="AV33" s="118"/>
      <c r="AW33" s="118"/>
      <c r="AX33" s="118"/>
      <c r="AY33" s="118"/>
      <c r="AZ33" s="118"/>
      <c r="BA33" s="118"/>
      <c r="BB33" s="118"/>
      <c r="BC33" s="118"/>
      <c r="BE33" s="118"/>
      <c r="BF33" s="118"/>
      <c r="BG33" s="118"/>
      <c r="BH33" s="118"/>
      <c r="BI33" s="118"/>
      <c r="BJ33" s="118"/>
      <c r="BK33" s="118"/>
      <c r="BL33" s="118"/>
      <c r="BM33" s="118"/>
      <c r="BN33" s="118"/>
      <c r="BQ33" s="119"/>
    </row>
    <row r="34" spans="2:69" ht="16.5">
      <c r="B34" s="118"/>
      <c r="C34" s="118"/>
      <c r="D34" s="118"/>
      <c r="E34" s="118"/>
      <c r="F34" s="143"/>
      <c r="G34" s="144"/>
      <c r="H34" s="144"/>
      <c r="I34" s="145"/>
      <c r="J34" s="145"/>
      <c r="K34" s="146" t="s">
        <v>64</v>
      </c>
      <c r="L34" s="232">
        <f>L33/T33</f>
        <v>0</v>
      </c>
      <c r="M34" s="232" t="e">
        <f>M33/U33%</f>
        <v>#REF!</v>
      </c>
      <c r="N34" s="232">
        <f>N33/T33</f>
        <v>0</v>
      </c>
      <c r="O34" s="232"/>
      <c r="P34" s="232">
        <f>P33/T33</f>
        <v>0.34615384615384615</v>
      </c>
      <c r="Q34" s="232"/>
      <c r="R34" s="232">
        <f>R33/T33</f>
        <v>0.6538461538461539</v>
      </c>
      <c r="S34" s="232"/>
      <c r="T34" s="148"/>
      <c r="U34" s="120"/>
      <c r="V34" s="120"/>
      <c r="W34" s="120"/>
      <c r="X34" s="120"/>
      <c r="Y34" s="120"/>
      <c r="Z34" s="120"/>
      <c r="AA34" s="120"/>
      <c r="AB34" s="120"/>
      <c r="AD34" s="120"/>
      <c r="AE34" s="120"/>
      <c r="AF34" s="118"/>
      <c r="AG34" s="177"/>
      <c r="AH34" s="187">
        <f>L34</f>
        <v>0</v>
      </c>
      <c r="AI34" s="187">
        <f>N34</f>
        <v>0</v>
      </c>
      <c r="AJ34" s="187">
        <f>P34</f>
        <v>0.34615384615384615</v>
      </c>
      <c r="AK34" s="187">
        <f>R34</f>
        <v>0.6538461538461539</v>
      </c>
      <c r="AL34" s="177"/>
      <c r="AM34" s="177"/>
      <c r="AO34" s="118"/>
      <c r="AP34" s="118"/>
      <c r="AQ34" s="118"/>
      <c r="AR34" s="118"/>
      <c r="AS34" s="118"/>
      <c r="AT34" s="118"/>
      <c r="AU34" s="118"/>
      <c r="AV34" s="118"/>
      <c r="AW34" s="118"/>
      <c r="AX34" s="118"/>
      <c r="AY34" s="118"/>
      <c r="AZ34" s="118"/>
      <c r="BA34" s="118"/>
      <c r="BB34" s="118"/>
      <c r="BC34" s="118"/>
      <c r="BE34" s="118"/>
      <c r="BF34" s="118"/>
      <c r="BG34" s="118"/>
      <c r="BH34" s="118"/>
      <c r="BI34" s="118"/>
      <c r="BJ34" s="118"/>
      <c r="BK34" s="118"/>
      <c r="BL34" s="118"/>
      <c r="BM34" s="118"/>
      <c r="BN34" s="118"/>
      <c r="BQ34" s="119"/>
    </row>
    <row r="35" spans="2:69" ht="27.75" customHeight="1">
      <c r="B35" s="118"/>
      <c r="C35" s="118"/>
      <c r="D35" s="118"/>
      <c r="E35" s="118"/>
      <c r="F35" s="118"/>
      <c r="G35" s="118"/>
      <c r="H35" s="118"/>
      <c r="I35" s="120"/>
      <c r="J35" s="120"/>
      <c r="K35" s="120"/>
      <c r="L35" s="120"/>
      <c r="M35" s="120"/>
      <c r="N35" s="120"/>
      <c r="O35" s="120"/>
      <c r="P35" s="120"/>
      <c r="Q35" s="120"/>
      <c r="R35" s="120"/>
      <c r="S35" s="120"/>
      <c r="T35" s="148"/>
      <c r="U35" s="120"/>
      <c r="V35" s="120"/>
      <c r="W35" s="120"/>
      <c r="X35" s="120"/>
      <c r="Y35" s="120"/>
      <c r="Z35" s="120"/>
      <c r="AA35" s="120"/>
      <c r="AB35" s="120"/>
      <c r="AD35" s="120"/>
      <c r="AE35" s="120"/>
      <c r="AF35" s="118"/>
      <c r="AG35" s="177"/>
      <c r="AH35" s="177"/>
      <c r="AI35" s="177"/>
      <c r="AJ35" s="177"/>
      <c r="AK35" s="177"/>
      <c r="AL35" s="177"/>
      <c r="AM35" s="177"/>
      <c r="AO35" s="118"/>
      <c r="AP35" s="118"/>
      <c r="AQ35" s="118"/>
      <c r="AR35" s="118"/>
      <c r="AS35" s="118"/>
      <c r="AT35" s="118"/>
      <c r="AU35" s="118"/>
      <c r="AV35" s="118"/>
      <c r="AW35" s="118"/>
      <c r="AX35" s="118"/>
      <c r="AY35" s="118"/>
      <c r="AZ35" s="118"/>
      <c r="BA35" s="118"/>
      <c r="BB35" s="118"/>
      <c r="BC35" s="118"/>
      <c r="BE35" s="118"/>
      <c r="BF35" s="118"/>
      <c r="BG35" s="118"/>
      <c r="BH35" s="118"/>
      <c r="BI35" s="118"/>
      <c r="BJ35" s="118"/>
      <c r="BK35" s="118"/>
      <c r="BL35" s="118"/>
      <c r="BM35" s="118"/>
      <c r="BN35" s="118"/>
      <c r="BQ35" s="119"/>
    </row>
    <row r="36" spans="2:69" ht="12.75" customHeight="1">
      <c r="B36" s="118"/>
      <c r="C36" s="118"/>
      <c r="D36" s="118"/>
      <c r="E36" s="118"/>
      <c r="F36" s="233" t="s">
        <v>18</v>
      </c>
      <c r="G36" s="233"/>
      <c r="H36" s="233" t="s">
        <v>65</v>
      </c>
      <c r="I36" s="233" t="s">
        <v>55</v>
      </c>
      <c r="J36" s="233" t="s">
        <v>56</v>
      </c>
      <c r="K36" s="233"/>
      <c r="L36" s="234" t="s">
        <v>57</v>
      </c>
      <c r="M36" s="234" t="s">
        <v>58</v>
      </c>
      <c r="N36" s="235" t="s">
        <v>59</v>
      </c>
      <c r="O36" s="235" t="s">
        <v>60</v>
      </c>
      <c r="P36" s="236" t="s">
        <v>61</v>
      </c>
      <c r="Q36" s="236" t="s">
        <v>58</v>
      </c>
      <c r="R36" s="237" t="s">
        <v>62</v>
      </c>
      <c r="S36" s="237" t="s">
        <v>60</v>
      </c>
      <c r="T36" s="148"/>
      <c r="U36" s="120"/>
      <c r="V36" s="120"/>
      <c r="W36" s="120"/>
      <c r="X36" s="120"/>
      <c r="Y36" s="120"/>
      <c r="Z36" s="120"/>
      <c r="AA36" s="120"/>
      <c r="AB36" s="120"/>
      <c r="AD36" s="120"/>
      <c r="AE36" s="120"/>
      <c r="AF36" s="118"/>
      <c r="AG36" s="177"/>
      <c r="AH36" s="177"/>
      <c r="AI36" s="177"/>
      <c r="AJ36" s="177"/>
      <c r="AK36" s="177"/>
      <c r="AL36" s="177"/>
      <c r="AM36" s="177"/>
      <c r="AO36" s="118"/>
      <c r="AP36" s="118"/>
      <c r="AQ36" s="118"/>
      <c r="AR36" s="118"/>
      <c r="AS36" s="118"/>
      <c r="AT36" s="118"/>
      <c r="AU36" s="118"/>
      <c r="AV36" s="118"/>
      <c r="AW36" s="118"/>
      <c r="AX36" s="118"/>
      <c r="AY36" s="118"/>
      <c r="AZ36" s="118"/>
      <c r="BA36" s="118"/>
      <c r="BB36" s="118"/>
      <c r="BC36" s="118"/>
      <c r="BE36" s="118"/>
      <c r="BF36" s="118"/>
      <c r="BG36" s="118"/>
      <c r="BH36" s="118"/>
      <c r="BI36" s="118"/>
      <c r="BJ36" s="118"/>
      <c r="BK36" s="118"/>
      <c r="BL36" s="118"/>
      <c r="BM36" s="118"/>
      <c r="BN36" s="118"/>
      <c r="BQ36" s="119"/>
    </row>
    <row r="37" spans="2:69" ht="16.5">
      <c r="B37" s="118"/>
      <c r="C37" s="118"/>
      <c r="D37" s="118"/>
      <c r="E37" s="118"/>
      <c r="F37" s="143"/>
      <c r="G37" s="144"/>
      <c r="H37" s="144"/>
      <c r="I37" s="145"/>
      <c r="J37" s="145"/>
      <c r="K37" s="146" t="s">
        <v>63</v>
      </c>
      <c r="L37" s="238">
        <f>SUMPRODUCT((saisie!$AC$15:$AC$46="o")*(saisie!$Z$15:$Z$46&lt;0.25))*1</f>
        <v>0</v>
      </c>
      <c r="M37" s="238" t="e">
        <f>SUMPRODUCT((#REF!&gt;=W35)*(#REF!&lt;X35))</f>
        <v>#REF!</v>
      </c>
      <c r="N37" s="238">
        <f>SUMPRODUCT((saisie!$AC$15:$AC$46="o")*(saisie!$Z$15:$Z$46&lt;0.5))*1-$L$37</f>
        <v>0</v>
      </c>
      <c r="O37" s="238" t="e">
        <f>NA()</f>
        <v>#N/A</v>
      </c>
      <c r="P37" s="238">
        <f>SUMPRODUCT((saisie!$AC$15:$AC$46="o")*(saisie!$Z$15:$Z$46&lt;0.75))*1-($L$37+$N$37)</f>
        <v>1</v>
      </c>
      <c r="Q37" s="238"/>
      <c r="R37" s="238">
        <f>SUMPRODUCT((saisie!$AC$15:$AC$46="o")*(saisie!$Z$15:$Z$46&gt;=0.75))*1</f>
        <v>25</v>
      </c>
      <c r="S37" s="238"/>
      <c r="T37" s="147">
        <f>L37+N37+P37+R37</f>
        <v>26</v>
      </c>
      <c r="U37" s="120"/>
      <c r="V37" s="120"/>
      <c r="W37" s="120"/>
      <c r="X37" s="120"/>
      <c r="Y37" s="120"/>
      <c r="Z37" s="120"/>
      <c r="AA37" s="120"/>
      <c r="AB37" s="120"/>
      <c r="AD37" s="120"/>
      <c r="AE37" s="120"/>
      <c r="AF37" s="118"/>
      <c r="AG37" s="177"/>
      <c r="AH37" s="177"/>
      <c r="AI37" s="177"/>
      <c r="AJ37" s="177"/>
      <c r="AK37" s="177"/>
      <c r="AL37" s="177"/>
      <c r="AM37" s="177"/>
      <c r="AO37" s="118"/>
      <c r="AP37" s="118"/>
      <c r="AQ37" s="118"/>
      <c r="AR37" s="118"/>
      <c r="AS37" s="118"/>
      <c r="AT37" s="118"/>
      <c r="AU37" s="118"/>
      <c r="AV37" s="118"/>
      <c r="AW37" s="118"/>
      <c r="AX37" s="118"/>
      <c r="AY37" s="118"/>
      <c r="AZ37" s="118"/>
      <c r="BA37" s="118"/>
      <c r="BB37" s="118"/>
      <c r="BC37" s="118"/>
      <c r="BE37" s="118"/>
      <c r="BF37" s="118"/>
      <c r="BG37" s="118"/>
      <c r="BH37" s="118"/>
      <c r="BI37" s="118"/>
      <c r="BJ37" s="118"/>
      <c r="BK37" s="118"/>
      <c r="BL37" s="118"/>
      <c r="BM37" s="118"/>
      <c r="BN37" s="118"/>
      <c r="BQ37" s="119"/>
    </row>
    <row r="38" spans="2:69" ht="16.5">
      <c r="B38" s="118"/>
      <c r="C38" s="118"/>
      <c r="D38" s="118"/>
      <c r="E38" s="118"/>
      <c r="F38" s="143"/>
      <c r="G38" s="144"/>
      <c r="H38" s="144"/>
      <c r="I38" s="145"/>
      <c r="J38" s="145"/>
      <c r="K38" s="146" t="s">
        <v>64</v>
      </c>
      <c r="L38" s="232">
        <f>L37/T37</f>
        <v>0</v>
      </c>
      <c r="M38" s="232" t="e">
        <f>M37/U37%</f>
        <v>#REF!</v>
      </c>
      <c r="N38" s="232">
        <f>N37/T37</f>
        <v>0</v>
      </c>
      <c r="O38" s="232"/>
      <c r="P38" s="232">
        <f>P37/T37</f>
        <v>0.038461538461538464</v>
      </c>
      <c r="Q38" s="232"/>
      <c r="R38" s="232">
        <f>R37/T37</f>
        <v>0.9615384615384616</v>
      </c>
      <c r="S38" s="232"/>
      <c r="T38" s="148"/>
      <c r="U38" s="120"/>
      <c r="V38" s="120"/>
      <c r="W38" s="120"/>
      <c r="X38" s="120"/>
      <c r="Y38" s="120"/>
      <c r="Z38" s="120"/>
      <c r="AA38" s="120"/>
      <c r="AB38" s="120"/>
      <c r="AD38" s="120"/>
      <c r="AE38" s="120"/>
      <c r="AF38" s="118"/>
      <c r="AG38" s="177"/>
      <c r="AH38" s="187">
        <f>L38</f>
        <v>0</v>
      </c>
      <c r="AI38" s="187">
        <f>N38</f>
        <v>0</v>
      </c>
      <c r="AJ38" s="187">
        <f>P38</f>
        <v>0.038461538461538464</v>
      </c>
      <c r="AK38" s="187">
        <f>R38</f>
        <v>0.9615384615384616</v>
      </c>
      <c r="AL38" s="177"/>
      <c r="AM38" s="177"/>
      <c r="AO38" s="118"/>
      <c r="AP38" s="118"/>
      <c r="AQ38" s="118"/>
      <c r="AR38" s="118"/>
      <c r="AS38" s="118"/>
      <c r="AT38" s="118"/>
      <c r="AU38" s="118"/>
      <c r="AV38" s="118"/>
      <c r="AW38" s="118"/>
      <c r="AX38" s="118"/>
      <c r="AY38" s="118"/>
      <c r="AZ38" s="118"/>
      <c r="BA38" s="118"/>
      <c r="BB38" s="118"/>
      <c r="BC38" s="118"/>
      <c r="BE38" s="118"/>
      <c r="BF38" s="118"/>
      <c r="BG38" s="118"/>
      <c r="BH38" s="118"/>
      <c r="BI38" s="118"/>
      <c r="BJ38" s="118"/>
      <c r="BK38" s="118"/>
      <c r="BL38" s="118"/>
      <c r="BM38" s="118"/>
      <c r="BN38" s="118"/>
      <c r="BQ38" s="119"/>
    </row>
    <row r="39" spans="2:69" ht="27.75" customHeight="1">
      <c r="B39" s="118"/>
      <c r="C39" s="118"/>
      <c r="D39" s="118"/>
      <c r="E39" s="118"/>
      <c r="F39" s="118"/>
      <c r="G39" s="118"/>
      <c r="H39" s="118"/>
      <c r="I39" s="120"/>
      <c r="J39" s="120"/>
      <c r="K39" s="120"/>
      <c r="L39" s="120"/>
      <c r="M39" s="120"/>
      <c r="N39" s="120"/>
      <c r="O39" s="120"/>
      <c r="P39" s="120"/>
      <c r="Q39" s="120"/>
      <c r="R39" s="120"/>
      <c r="S39" s="120"/>
      <c r="T39" s="148"/>
      <c r="U39" s="120"/>
      <c r="V39" s="120"/>
      <c r="W39" s="120"/>
      <c r="X39" s="120"/>
      <c r="Y39" s="120"/>
      <c r="Z39" s="120"/>
      <c r="AA39" s="120"/>
      <c r="AB39" s="120"/>
      <c r="AD39" s="120"/>
      <c r="AE39" s="120"/>
      <c r="AF39" s="118"/>
      <c r="AG39" s="177"/>
      <c r="AH39" s="177"/>
      <c r="AI39" s="177"/>
      <c r="AJ39" s="177"/>
      <c r="AK39" s="177"/>
      <c r="AL39" s="177"/>
      <c r="AM39" s="177"/>
      <c r="AO39" s="118"/>
      <c r="AP39" s="118"/>
      <c r="AQ39" s="118"/>
      <c r="AR39" s="118"/>
      <c r="AS39" s="118"/>
      <c r="AT39" s="118"/>
      <c r="AU39" s="118"/>
      <c r="AV39" s="118"/>
      <c r="AW39" s="118"/>
      <c r="AX39" s="118"/>
      <c r="AY39" s="118"/>
      <c r="AZ39" s="118"/>
      <c r="BA39" s="118"/>
      <c r="BB39" s="118"/>
      <c r="BC39" s="118"/>
      <c r="BE39" s="118"/>
      <c r="BF39" s="118"/>
      <c r="BG39" s="118"/>
      <c r="BH39" s="118"/>
      <c r="BI39" s="118"/>
      <c r="BJ39" s="118"/>
      <c r="BK39" s="118"/>
      <c r="BL39" s="118"/>
      <c r="BM39" s="118"/>
      <c r="BN39" s="118"/>
      <c r="BQ39" s="119"/>
    </row>
    <row r="40" spans="2:69" ht="12.75" customHeight="1">
      <c r="B40" s="118"/>
      <c r="C40" s="118"/>
      <c r="D40" s="118"/>
      <c r="E40" s="118"/>
      <c r="F40" s="233" t="s">
        <v>66</v>
      </c>
      <c r="G40" s="233"/>
      <c r="H40" s="233" t="s">
        <v>65</v>
      </c>
      <c r="I40" s="233" t="s">
        <v>55</v>
      </c>
      <c r="J40" s="233" t="s">
        <v>56</v>
      </c>
      <c r="K40" s="233"/>
      <c r="L40" s="234" t="s">
        <v>57</v>
      </c>
      <c r="M40" s="234" t="s">
        <v>58</v>
      </c>
      <c r="N40" s="235" t="s">
        <v>59</v>
      </c>
      <c r="O40" s="235" t="s">
        <v>60</v>
      </c>
      <c r="P40" s="236" t="s">
        <v>61</v>
      </c>
      <c r="Q40" s="236" t="s">
        <v>58</v>
      </c>
      <c r="R40" s="237" t="s">
        <v>62</v>
      </c>
      <c r="S40" s="237" t="s">
        <v>60</v>
      </c>
      <c r="T40" s="148"/>
      <c r="U40" s="120"/>
      <c r="V40" s="120"/>
      <c r="W40" s="120"/>
      <c r="X40" s="120"/>
      <c r="Y40" s="120"/>
      <c r="Z40" s="120"/>
      <c r="AA40" s="120"/>
      <c r="AB40" s="120"/>
      <c r="AD40" s="120"/>
      <c r="AE40" s="120"/>
      <c r="AF40" s="118"/>
      <c r="AG40" s="177"/>
      <c r="AH40" s="177"/>
      <c r="AI40" s="177"/>
      <c r="AJ40" s="177"/>
      <c r="AK40" s="177"/>
      <c r="AL40" s="177"/>
      <c r="AM40" s="177"/>
      <c r="AO40" s="118"/>
      <c r="AP40" s="118"/>
      <c r="AQ40" s="118"/>
      <c r="AR40" s="118"/>
      <c r="AS40" s="118"/>
      <c r="AT40" s="118"/>
      <c r="AU40" s="118"/>
      <c r="AV40" s="118"/>
      <c r="AW40" s="118"/>
      <c r="AX40" s="118"/>
      <c r="AY40" s="118"/>
      <c r="AZ40" s="118"/>
      <c r="BA40" s="118"/>
      <c r="BB40" s="118"/>
      <c r="BC40" s="118"/>
      <c r="BE40" s="118"/>
      <c r="BF40" s="118"/>
      <c r="BG40" s="118"/>
      <c r="BH40" s="118"/>
      <c r="BI40" s="118"/>
      <c r="BJ40" s="118"/>
      <c r="BK40" s="118"/>
      <c r="BL40" s="118"/>
      <c r="BM40" s="118"/>
      <c r="BN40" s="118"/>
      <c r="BQ40" s="119"/>
    </row>
    <row r="41" spans="2:69" ht="16.5">
      <c r="B41" s="118"/>
      <c r="C41" s="118"/>
      <c r="D41" s="118"/>
      <c r="E41" s="118"/>
      <c r="F41" s="143"/>
      <c r="G41" s="144"/>
      <c r="H41" s="144"/>
      <c r="I41" s="145"/>
      <c r="J41" s="145"/>
      <c r="K41" s="146" t="s">
        <v>63</v>
      </c>
      <c r="L41" s="238">
        <f>SUMPRODUCT((saisie!$AC$15:$AC$46="o")*(saisie!$AA$15:$AA$46&lt;0.25))*1</f>
        <v>1</v>
      </c>
      <c r="M41" s="238" t="e">
        <f>SUMPRODUCT((#REF!&gt;=W39)*(#REF!&lt;X39))</f>
        <v>#REF!</v>
      </c>
      <c r="N41" s="238">
        <f>SUMPRODUCT((saisie!$AC$15:$AC$46="o")*(saisie!$AA$15:$AA$46&lt;0.5))*1-$L$41</f>
        <v>0</v>
      </c>
      <c r="O41" s="238" t="e">
        <f>NA()</f>
        <v>#N/A</v>
      </c>
      <c r="P41" s="238">
        <f>SUMPRODUCT((saisie!$AC$15:$AC$46="o")*(saisie!$AA$15:$AA$46&lt;0.75))*1-($L$41+$N$41)</f>
        <v>8</v>
      </c>
      <c r="Q41" s="238"/>
      <c r="R41" s="238">
        <f>SUMPRODUCT((saisie!$AC$15:$AC$46="o")*(saisie!$AA$15:$AA$46&gt;=0.75))*1</f>
        <v>17</v>
      </c>
      <c r="S41" s="238"/>
      <c r="T41" s="147">
        <f>L41+N41+P41+R41</f>
        <v>26</v>
      </c>
      <c r="U41" s="120"/>
      <c r="V41" s="120"/>
      <c r="W41" s="120"/>
      <c r="X41" s="120"/>
      <c r="Y41" s="120"/>
      <c r="Z41" s="120"/>
      <c r="AA41" s="120"/>
      <c r="AB41" s="120"/>
      <c r="AD41" s="120"/>
      <c r="AE41" s="120"/>
      <c r="AF41" s="118"/>
      <c r="AG41" s="177"/>
      <c r="AH41" s="187"/>
      <c r="AI41" s="187"/>
      <c r="AJ41" s="187"/>
      <c r="AK41" s="187"/>
      <c r="AL41" s="177"/>
      <c r="AM41" s="177"/>
      <c r="AO41" s="118"/>
      <c r="AP41" s="118"/>
      <c r="AQ41" s="118"/>
      <c r="AR41" s="118"/>
      <c r="AS41" s="118"/>
      <c r="AT41" s="118"/>
      <c r="AU41" s="118"/>
      <c r="AV41" s="118"/>
      <c r="AW41" s="118"/>
      <c r="AX41" s="118"/>
      <c r="AY41" s="118"/>
      <c r="AZ41" s="118"/>
      <c r="BA41" s="118"/>
      <c r="BB41" s="118"/>
      <c r="BC41" s="118"/>
      <c r="BE41" s="118"/>
      <c r="BF41" s="118"/>
      <c r="BG41" s="118"/>
      <c r="BH41" s="118"/>
      <c r="BI41" s="118"/>
      <c r="BJ41" s="118"/>
      <c r="BK41" s="118"/>
      <c r="BL41" s="118"/>
      <c r="BM41" s="118"/>
      <c r="BN41" s="118"/>
      <c r="BQ41" s="119"/>
    </row>
    <row r="42" spans="2:69" ht="16.5">
      <c r="B42" s="118"/>
      <c r="C42" s="118"/>
      <c r="D42" s="118"/>
      <c r="E42" s="118"/>
      <c r="F42" s="143"/>
      <c r="G42" s="144"/>
      <c r="H42" s="144"/>
      <c r="I42" s="145"/>
      <c r="J42" s="145"/>
      <c r="K42" s="146" t="s">
        <v>64</v>
      </c>
      <c r="L42" s="232">
        <f>L41/T41</f>
        <v>0.038461538461538464</v>
      </c>
      <c r="M42" s="232" t="e">
        <f>M41/U41%</f>
        <v>#REF!</v>
      </c>
      <c r="N42" s="232">
        <f>N41/T41</f>
        <v>0</v>
      </c>
      <c r="O42" s="232"/>
      <c r="P42" s="232">
        <f>P41/T41</f>
        <v>0.3076923076923077</v>
      </c>
      <c r="Q42" s="232"/>
      <c r="R42" s="232">
        <f>R41/T41</f>
        <v>0.6538461538461539</v>
      </c>
      <c r="S42" s="232"/>
      <c r="T42" s="120"/>
      <c r="U42" s="120"/>
      <c r="V42" s="120"/>
      <c r="W42" s="120"/>
      <c r="X42" s="120"/>
      <c r="Y42" s="120"/>
      <c r="Z42" s="120"/>
      <c r="AA42" s="120"/>
      <c r="AB42" s="120"/>
      <c r="AD42" s="120"/>
      <c r="AE42" s="120"/>
      <c r="AF42" s="118"/>
      <c r="AG42" s="177"/>
      <c r="AH42" s="187">
        <f>L42</f>
        <v>0.038461538461538464</v>
      </c>
      <c r="AI42" s="187">
        <f>N42</f>
        <v>0</v>
      </c>
      <c r="AJ42" s="187">
        <f>P42</f>
        <v>0.3076923076923077</v>
      </c>
      <c r="AK42" s="187">
        <f>R42</f>
        <v>0.6538461538461539</v>
      </c>
      <c r="AL42" s="177"/>
      <c r="AM42" s="177"/>
      <c r="AO42" s="118"/>
      <c r="AP42" s="118"/>
      <c r="AQ42" s="118"/>
      <c r="AR42" s="118"/>
      <c r="AS42" s="118"/>
      <c r="AT42" s="118"/>
      <c r="AU42" s="118"/>
      <c r="AV42" s="118"/>
      <c r="AW42" s="118"/>
      <c r="AX42" s="118"/>
      <c r="AY42" s="118"/>
      <c r="AZ42" s="118"/>
      <c r="BA42" s="118"/>
      <c r="BB42" s="118"/>
      <c r="BC42" s="118"/>
      <c r="BE42" s="118"/>
      <c r="BF42" s="118"/>
      <c r="BG42" s="118"/>
      <c r="BH42" s="118"/>
      <c r="BI42" s="118"/>
      <c r="BJ42" s="118"/>
      <c r="BK42" s="118"/>
      <c r="BL42" s="118"/>
      <c r="BM42" s="118"/>
      <c r="BN42" s="118"/>
      <c r="BQ42" s="119"/>
    </row>
    <row r="43" spans="2:69" ht="27.75" customHeight="1">
      <c r="B43" s="118"/>
      <c r="C43" s="118"/>
      <c r="D43" s="118"/>
      <c r="E43" s="118"/>
      <c r="F43" s="118"/>
      <c r="G43" s="118"/>
      <c r="H43" s="118"/>
      <c r="I43" s="120"/>
      <c r="J43" s="120"/>
      <c r="K43" s="120"/>
      <c r="L43" s="120"/>
      <c r="M43" s="120"/>
      <c r="N43" s="120"/>
      <c r="O43" s="120"/>
      <c r="P43" s="120"/>
      <c r="Q43" s="120"/>
      <c r="R43" s="120"/>
      <c r="S43" s="120"/>
      <c r="T43" s="120"/>
      <c r="U43" s="120"/>
      <c r="V43" s="120"/>
      <c r="W43" s="120"/>
      <c r="X43" s="120"/>
      <c r="Y43" s="120"/>
      <c r="Z43" s="120"/>
      <c r="AA43" s="120"/>
      <c r="AB43" s="120"/>
      <c r="AD43" s="120"/>
      <c r="AE43" s="120"/>
      <c r="AF43" s="118"/>
      <c r="AG43" s="177"/>
      <c r="AH43" s="177"/>
      <c r="AI43" s="177"/>
      <c r="AJ43" s="177"/>
      <c r="AK43" s="177"/>
      <c r="AL43" s="177"/>
      <c r="AM43" s="177"/>
      <c r="AO43" s="118"/>
      <c r="AP43" s="118"/>
      <c r="AQ43" s="118"/>
      <c r="AR43" s="118"/>
      <c r="AS43" s="118"/>
      <c r="AT43" s="118"/>
      <c r="AU43" s="118"/>
      <c r="AV43" s="118"/>
      <c r="AW43" s="118"/>
      <c r="AX43" s="118"/>
      <c r="AY43" s="118"/>
      <c r="AZ43" s="118"/>
      <c r="BA43" s="118"/>
      <c r="BB43" s="118"/>
      <c r="BC43" s="118"/>
      <c r="BE43" s="118"/>
      <c r="BF43" s="118"/>
      <c r="BG43" s="118"/>
      <c r="BH43" s="118"/>
      <c r="BI43" s="118"/>
      <c r="BJ43" s="118"/>
      <c r="BK43" s="118"/>
      <c r="BL43" s="118"/>
      <c r="BM43" s="118"/>
      <c r="BN43" s="118"/>
      <c r="BQ43" s="119"/>
    </row>
    <row r="44" spans="2:69" ht="12.75" customHeight="1">
      <c r="B44" s="118"/>
      <c r="C44" s="118"/>
      <c r="D44" s="118"/>
      <c r="E44" s="118"/>
      <c r="F44" s="233" t="s">
        <v>20</v>
      </c>
      <c r="G44" s="233"/>
      <c r="H44" s="233" t="s">
        <v>65</v>
      </c>
      <c r="I44" s="233" t="s">
        <v>55</v>
      </c>
      <c r="J44" s="233" t="s">
        <v>56</v>
      </c>
      <c r="K44" s="233"/>
      <c r="L44" s="234" t="s">
        <v>57</v>
      </c>
      <c r="M44" s="234" t="s">
        <v>58</v>
      </c>
      <c r="N44" s="235" t="s">
        <v>59</v>
      </c>
      <c r="O44" s="235" t="s">
        <v>60</v>
      </c>
      <c r="P44" s="236" t="s">
        <v>61</v>
      </c>
      <c r="Q44" s="236" t="s">
        <v>58</v>
      </c>
      <c r="R44" s="237" t="s">
        <v>62</v>
      </c>
      <c r="S44" s="237" t="s">
        <v>60</v>
      </c>
      <c r="T44" s="120"/>
      <c r="U44" s="120"/>
      <c r="V44" s="120"/>
      <c r="W44" s="120"/>
      <c r="X44" s="120"/>
      <c r="Y44" s="120"/>
      <c r="Z44" s="120"/>
      <c r="AA44" s="120"/>
      <c r="AB44" s="120"/>
      <c r="AD44" s="120"/>
      <c r="AE44" s="120"/>
      <c r="AF44" s="118"/>
      <c r="AG44" s="177"/>
      <c r="AH44" s="177"/>
      <c r="AI44" s="177"/>
      <c r="AJ44" s="177"/>
      <c r="AK44" s="177"/>
      <c r="AL44" s="177"/>
      <c r="AM44" s="177"/>
      <c r="AO44" s="118"/>
      <c r="AP44" s="118"/>
      <c r="AQ44" s="118"/>
      <c r="AR44" s="118"/>
      <c r="AS44" s="118"/>
      <c r="AT44" s="118"/>
      <c r="AU44" s="118"/>
      <c r="AV44" s="118"/>
      <c r="AW44" s="118"/>
      <c r="AX44" s="118"/>
      <c r="AY44" s="118"/>
      <c r="AZ44" s="118"/>
      <c r="BA44" s="118"/>
      <c r="BB44" s="118"/>
      <c r="BC44" s="118"/>
      <c r="BE44" s="118"/>
      <c r="BF44" s="118"/>
      <c r="BG44" s="118"/>
      <c r="BH44" s="118"/>
      <c r="BI44" s="118"/>
      <c r="BJ44" s="118"/>
      <c r="BK44" s="118"/>
      <c r="BL44" s="118"/>
      <c r="BM44" s="118"/>
      <c r="BN44" s="118"/>
      <c r="BQ44" s="119"/>
    </row>
    <row r="45" spans="2:69" ht="16.5">
      <c r="B45" s="118"/>
      <c r="C45" s="118"/>
      <c r="D45" s="118"/>
      <c r="E45" s="118"/>
      <c r="F45" s="143"/>
      <c r="G45" s="144"/>
      <c r="H45" s="144"/>
      <c r="I45" s="145"/>
      <c r="J45" s="145"/>
      <c r="K45" s="146" t="s">
        <v>63</v>
      </c>
      <c r="L45" s="238">
        <f>SUMPRODUCT((saisie!$AC$15:$AC$46="o")*(saisie!$AB$15:$AB$46&lt;0.25))*1</f>
        <v>1</v>
      </c>
      <c r="M45" s="238" t="e">
        <f>SUMPRODUCT((#REF!&gt;=W43)*(#REF!&lt;X43))</f>
        <v>#REF!</v>
      </c>
      <c r="N45" s="238">
        <f>SUMPRODUCT((saisie!$AC$15:$AC$46="o")*(saisie!$AB$15:$AB$46&lt;0.5))*1-$L$41</f>
        <v>6</v>
      </c>
      <c r="O45" s="238" t="e">
        <f>NA()</f>
        <v>#N/A</v>
      </c>
      <c r="P45" s="238">
        <f>SUMPRODUCT((saisie!$AC$15:$AC$46="o")*(saisie!$AB$15:$AB$46&lt;0.75))*1-($L$41+$N$41)</f>
        <v>9</v>
      </c>
      <c r="Q45" s="238"/>
      <c r="R45" s="238">
        <f>SUMPRODUCT((saisie!$AC$15:$AC$46="o")*(saisie!$AB$15:$AB$46&gt;=0.75))*1</f>
        <v>16</v>
      </c>
      <c r="S45" s="238"/>
      <c r="T45" s="147">
        <f>L45+N45+P45+R45</f>
        <v>32</v>
      </c>
      <c r="U45" s="120"/>
      <c r="V45" s="120"/>
      <c r="W45" s="120"/>
      <c r="X45" s="120"/>
      <c r="Y45" s="120"/>
      <c r="Z45" s="120"/>
      <c r="AA45" s="120"/>
      <c r="AB45" s="120"/>
      <c r="AD45" s="120"/>
      <c r="AE45" s="120"/>
      <c r="AF45" s="118"/>
      <c r="AG45" s="177"/>
      <c r="AH45" s="177"/>
      <c r="AI45" s="177"/>
      <c r="AJ45" s="177"/>
      <c r="AK45" s="177"/>
      <c r="AL45" s="177"/>
      <c r="AM45" s="177"/>
      <c r="AO45" s="118"/>
      <c r="AP45" s="118"/>
      <c r="AQ45" s="118"/>
      <c r="AR45" s="118"/>
      <c r="AS45" s="118"/>
      <c r="AT45" s="118"/>
      <c r="AU45" s="118"/>
      <c r="AV45" s="118"/>
      <c r="AW45" s="118"/>
      <c r="AX45" s="118"/>
      <c r="AY45" s="118"/>
      <c r="AZ45" s="118"/>
      <c r="BA45" s="118"/>
      <c r="BB45" s="118"/>
      <c r="BC45" s="118"/>
      <c r="BE45" s="118"/>
      <c r="BF45" s="118"/>
      <c r="BG45" s="118"/>
      <c r="BH45" s="118"/>
      <c r="BI45" s="118"/>
      <c r="BJ45" s="118"/>
      <c r="BK45" s="118"/>
      <c r="BL45" s="118"/>
      <c r="BM45" s="118"/>
      <c r="BN45" s="118"/>
      <c r="BQ45" s="119"/>
    </row>
    <row r="46" spans="2:69" ht="16.5">
      <c r="B46" s="118"/>
      <c r="C46" s="118"/>
      <c r="D46" s="118"/>
      <c r="E46" s="118"/>
      <c r="F46" s="143"/>
      <c r="G46" s="144"/>
      <c r="H46" s="144"/>
      <c r="I46" s="145"/>
      <c r="J46" s="145"/>
      <c r="K46" s="146" t="s">
        <v>64</v>
      </c>
      <c r="L46" s="232">
        <f>L45/T45</f>
        <v>0.03125</v>
      </c>
      <c r="M46" s="232" t="e">
        <f>M45/U45%</f>
        <v>#REF!</v>
      </c>
      <c r="N46" s="232">
        <f>N45/T45</f>
        <v>0.1875</v>
      </c>
      <c r="O46" s="232"/>
      <c r="P46" s="232">
        <f>P45/T45</f>
        <v>0.28125</v>
      </c>
      <c r="Q46" s="232"/>
      <c r="R46" s="232">
        <f>R45/T45</f>
        <v>0.5</v>
      </c>
      <c r="S46" s="232"/>
      <c r="T46" s="120"/>
      <c r="U46" s="120"/>
      <c r="V46" s="120"/>
      <c r="W46" s="120"/>
      <c r="X46" s="120"/>
      <c r="Y46" s="120"/>
      <c r="Z46" s="120"/>
      <c r="AA46" s="120"/>
      <c r="AB46" s="120"/>
      <c r="AD46" s="120"/>
      <c r="AE46" s="120"/>
      <c r="AF46" s="118"/>
      <c r="AG46" s="177"/>
      <c r="AH46" s="187">
        <f>L46</f>
        <v>0.03125</v>
      </c>
      <c r="AI46" s="187">
        <f>N46</f>
        <v>0.1875</v>
      </c>
      <c r="AJ46" s="187">
        <f>P46</f>
        <v>0.28125</v>
      </c>
      <c r="AK46" s="187">
        <f>R46</f>
        <v>0.5</v>
      </c>
      <c r="AL46" s="177"/>
      <c r="AM46" s="177"/>
      <c r="AO46" s="118"/>
      <c r="AP46" s="118"/>
      <c r="AQ46" s="118"/>
      <c r="AR46" s="118"/>
      <c r="AS46" s="118"/>
      <c r="AT46" s="118"/>
      <c r="AU46" s="118"/>
      <c r="AV46" s="118"/>
      <c r="AW46" s="118"/>
      <c r="AX46" s="118"/>
      <c r="AY46" s="118"/>
      <c r="AZ46" s="118"/>
      <c r="BA46" s="118"/>
      <c r="BB46" s="118"/>
      <c r="BC46" s="118"/>
      <c r="BE46" s="118"/>
      <c r="BF46" s="118"/>
      <c r="BG46" s="118"/>
      <c r="BH46" s="118"/>
      <c r="BI46" s="118"/>
      <c r="BJ46" s="118"/>
      <c r="BK46" s="118"/>
      <c r="BL46" s="118"/>
      <c r="BM46" s="118"/>
      <c r="BN46" s="118"/>
      <c r="BQ46" s="119"/>
    </row>
    <row r="47" spans="2:69" ht="12">
      <c r="B47" s="118"/>
      <c r="C47" s="118"/>
      <c r="D47" s="118"/>
      <c r="E47" s="118"/>
      <c r="F47" s="118"/>
      <c r="G47" s="118"/>
      <c r="H47" s="118"/>
      <c r="I47" s="120"/>
      <c r="J47" s="120"/>
      <c r="K47" s="120"/>
      <c r="L47" s="120"/>
      <c r="M47" s="120"/>
      <c r="N47" s="120"/>
      <c r="O47" s="120"/>
      <c r="P47" s="120"/>
      <c r="Q47" s="120"/>
      <c r="R47" s="120"/>
      <c r="S47" s="120"/>
      <c r="T47" s="120"/>
      <c r="U47" s="120"/>
      <c r="V47" s="120"/>
      <c r="W47" s="120"/>
      <c r="X47" s="120"/>
      <c r="Y47" s="120"/>
      <c r="Z47" s="120"/>
      <c r="AA47" s="120"/>
      <c r="AB47" s="120"/>
      <c r="AD47" s="120"/>
      <c r="AE47" s="120"/>
      <c r="AF47" s="118"/>
      <c r="AG47" s="177"/>
      <c r="AH47" s="177"/>
      <c r="AI47" s="177"/>
      <c r="AJ47" s="177"/>
      <c r="AK47" s="177"/>
      <c r="AL47" s="177"/>
      <c r="AM47" s="177"/>
      <c r="AO47" s="118"/>
      <c r="AP47" s="118"/>
      <c r="AQ47" s="118"/>
      <c r="AR47" s="118"/>
      <c r="AS47" s="118"/>
      <c r="AT47" s="118"/>
      <c r="AU47" s="118"/>
      <c r="AV47" s="118"/>
      <c r="AW47" s="118"/>
      <c r="AX47" s="118"/>
      <c r="AY47" s="118"/>
      <c r="AZ47" s="118"/>
      <c r="BA47" s="118"/>
      <c r="BB47" s="118"/>
      <c r="BC47" s="118"/>
      <c r="BE47" s="118"/>
      <c r="BF47" s="118"/>
      <c r="BG47" s="118"/>
      <c r="BH47" s="118"/>
      <c r="BI47" s="118"/>
      <c r="BJ47" s="118"/>
      <c r="BK47" s="118"/>
      <c r="BL47" s="118"/>
      <c r="BM47" s="118"/>
      <c r="BN47" s="118"/>
      <c r="BQ47" s="119"/>
    </row>
    <row r="48" spans="2:69" ht="12">
      <c r="B48" s="118"/>
      <c r="C48" s="118"/>
      <c r="D48" s="118"/>
      <c r="E48" s="118"/>
      <c r="F48" s="118"/>
      <c r="G48" s="118"/>
      <c r="H48" s="118"/>
      <c r="I48" s="120"/>
      <c r="J48" s="120"/>
      <c r="K48" s="120"/>
      <c r="L48" s="120"/>
      <c r="M48" s="120"/>
      <c r="N48" s="120"/>
      <c r="O48" s="120"/>
      <c r="P48" s="120"/>
      <c r="Q48" s="120"/>
      <c r="R48" s="120"/>
      <c r="S48" s="120"/>
      <c r="T48" s="120"/>
      <c r="U48" s="120"/>
      <c r="V48" s="120"/>
      <c r="W48" s="120"/>
      <c r="X48" s="120"/>
      <c r="Y48" s="120"/>
      <c r="Z48" s="120"/>
      <c r="AA48" s="120"/>
      <c r="AB48" s="120"/>
      <c r="AD48" s="120"/>
      <c r="AE48" s="120"/>
      <c r="AF48" s="118"/>
      <c r="AG48" s="177"/>
      <c r="AH48" s="177"/>
      <c r="AI48" s="177"/>
      <c r="AJ48" s="177"/>
      <c r="AK48" s="177"/>
      <c r="AL48" s="177"/>
      <c r="AM48" s="177"/>
      <c r="AO48" s="118"/>
      <c r="AP48" s="118"/>
      <c r="AQ48" s="118"/>
      <c r="AR48" s="118"/>
      <c r="AS48" s="118"/>
      <c r="AT48" s="118"/>
      <c r="AU48" s="118"/>
      <c r="AV48" s="118"/>
      <c r="AW48" s="118"/>
      <c r="AX48" s="118"/>
      <c r="AY48" s="118"/>
      <c r="AZ48" s="118"/>
      <c r="BA48" s="118"/>
      <c r="BB48" s="118"/>
      <c r="BC48" s="118"/>
      <c r="BE48" s="118"/>
      <c r="BF48" s="118"/>
      <c r="BG48" s="118"/>
      <c r="BH48" s="118"/>
      <c r="BI48" s="118"/>
      <c r="BJ48" s="118"/>
      <c r="BK48" s="118"/>
      <c r="BL48" s="118"/>
      <c r="BM48" s="118"/>
      <c r="BN48" s="118"/>
      <c r="BQ48" s="119"/>
    </row>
    <row r="49" spans="2:69" ht="12">
      <c r="B49" s="118"/>
      <c r="C49" s="118"/>
      <c r="D49" s="118"/>
      <c r="E49" s="118"/>
      <c r="F49" s="118"/>
      <c r="G49" s="118"/>
      <c r="H49" s="118"/>
      <c r="I49" s="120"/>
      <c r="J49" s="120"/>
      <c r="K49" s="120"/>
      <c r="L49" s="120"/>
      <c r="M49" s="120"/>
      <c r="N49" s="120"/>
      <c r="O49" s="120"/>
      <c r="P49" s="120"/>
      <c r="Q49" s="120"/>
      <c r="R49" s="120"/>
      <c r="S49" s="120"/>
      <c r="T49" s="120"/>
      <c r="U49" s="120"/>
      <c r="V49" s="120"/>
      <c r="W49" s="120"/>
      <c r="X49" s="120"/>
      <c r="Y49" s="120"/>
      <c r="Z49" s="120"/>
      <c r="AA49" s="120"/>
      <c r="AB49" s="120"/>
      <c r="AD49" s="120"/>
      <c r="AE49" s="120"/>
      <c r="AF49" s="118"/>
      <c r="AG49" s="177"/>
      <c r="AH49" s="177"/>
      <c r="AI49" s="177"/>
      <c r="AJ49" s="177"/>
      <c r="AK49" s="177"/>
      <c r="AL49" s="177"/>
      <c r="AM49" s="177"/>
      <c r="AO49" s="118"/>
      <c r="AP49" s="118"/>
      <c r="AQ49" s="118"/>
      <c r="AR49" s="118"/>
      <c r="AS49" s="118"/>
      <c r="AT49" s="118"/>
      <c r="AU49" s="118"/>
      <c r="AV49" s="118"/>
      <c r="AW49" s="118"/>
      <c r="AX49" s="118"/>
      <c r="AY49" s="118"/>
      <c r="AZ49" s="118"/>
      <c r="BA49" s="118"/>
      <c r="BB49" s="118"/>
      <c r="BC49" s="118"/>
      <c r="BE49" s="118"/>
      <c r="BF49" s="118"/>
      <c r="BG49" s="118"/>
      <c r="BH49" s="118"/>
      <c r="BI49" s="118"/>
      <c r="BJ49" s="118"/>
      <c r="BK49" s="118"/>
      <c r="BL49" s="118"/>
      <c r="BM49" s="118"/>
      <c r="BN49" s="118"/>
      <c r="BQ49" s="119"/>
    </row>
    <row r="50" spans="2:69" ht="12">
      <c r="B50" s="118"/>
      <c r="C50" s="118"/>
      <c r="D50" s="118"/>
      <c r="E50" s="118"/>
      <c r="F50" s="118"/>
      <c r="G50" s="118"/>
      <c r="H50" s="118"/>
      <c r="I50" s="120"/>
      <c r="J50" s="120"/>
      <c r="K50" s="120"/>
      <c r="L50" s="120"/>
      <c r="M50" s="120"/>
      <c r="N50" s="120"/>
      <c r="O50" s="120"/>
      <c r="P50" s="120"/>
      <c r="Q50" s="120"/>
      <c r="R50" s="120"/>
      <c r="S50" s="120"/>
      <c r="T50" s="120"/>
      <c r="U50" s="120"/>
      <c r="V50" s="120"/>
      <c r="W50" s="120"/>
      <c r="X50" s="120"/>
      <c r="Y50" s="120"/>
      <c r="Z50" s="120"/>
      <c r="AA50" s="120"/>
      <c r="AB50" s="120"/>
      <c r="AD50" s="120"/>
      <c r="AE50" s="120"/>
      <c r="AF50" s="118"/>
      <c r="AG50" s="177"/>
      <c r="AH50" s="177"/>
      <c r="AI50" s="177"/>
      <c r="AJ50" s="177"/>
      <c r="AK50" s="177"/>
      <c r="AL50" s="177"/>
      <c r="AM50" s="177"/>
      <c r="AO50" s="118"/>
      <c r="AP50" s="118"/>
      <c r="AQ50" s="118"/>
      <c r="AR50" s="118"/>
      <c r="AS50" s="118"/>
      <c r="AT50" s="118"/>
      <c r="AU50" s="118"/>
      <c r="AV50" s="118"/>
      <c r="AW50" s="118"/>
      <c r="AX50" s="118"/>
      <c r="AY50" s="118"/>
      <c r="AZ50" s="118"/>
      <c r="BA50" s="118"/>
      <c r="BB50" s="118"/>
      <c r="BC50" s="118"/>
      <c r="BE50" s="118"/>
      <c r="BF50" s="118"/>
      <c r="BG50" s="118"/>
      <c r="BH50" s="118"/>
      <c r="BI50" s="118"/>
      <c r="BJ50" s="118"/>
      <c r="BK50" s="118"/>
      <c r="BL50" s="118"/>
      <c r="BM50" s="118"/>
      <c r="BN50" s="118"/>
      <c r="BQ50" s="119"/>
    </row>
    <row r="51" spans="2:69" ht="12">
      <c r="B51" s="118"/>
      <c r="C51" s="118"/>
      <c r="D51" s="118"/>
      <c r="E51" s="118"/>
      <c r="F51" s="118"/>
      <c r="G51" s="118"/>
      <c r="H51" s="118"/>
      <c r="I51" s="120"/>
      <c r="J51" s="120"/>
      <c r="K51" s="120"/>
      <c r="L51" s="120"/>
      <c r="M51" s="120"/>
      <c r="N51" s="120"/>
      <c r="O51" s="120"/>
      <c r="P51" s="120"/>
      <c r="Q51" s="120"/>
      <c r="R51" s="120"/>
      <c r="S51" s="120"/>
      <c r="T51" s="120"/>
      <c r="U51" s="120"/>
      <c r="V51" s="120"/>
      <c r="W51" s="120"/>
      <c r="X51" s="120"/>
      <c r="Y51" s="120"/>
      <c r="Z51" s="120"/>
      <c r="AA51" s="120"/>
      <c r="AB51" s="120"/>
      <c r="AD51" s="120"/>
      <c r="AE51" s="120"/>
      <c r="AF51" s="118"/>
      <c r="AG51" s="177"/>
      <c r="AH51" s="177"/>
      <c r="AI51" s="177"/>
      <c r="AJ51" s="177"/>
      <c r="AK51" s="177"/>
      <c r="AL51" s="177"/>
      <c r="AM51" s="177"/>
      <c r="AO51" s="118"/>
      <c r="AP51" s="118"/>
      <c r="AQ51" s="118"/>
      <c r="AR51" s="118"/>
      <c r="AS51" s="118"/>
      <c r="AT51" s="118"/>
      <c r="AU51" s="118"/>
      <c r="AV51" s="118"/>
      <c r="AW51" s="118"/>
      <c r="AX51" s="118"/>
      <c r="AY51" s="118"/>
      <c r="AZ51" s="118"/>
      <c r="BA51" s="118"/>
      <c r="BB51" s="118"/>
      <c r="BC51" s="118"/>
      <c r="BE51" s="118"/>
      <c r="BF51" s="118"/>
      <c r="BG51" s="118"/>
      <c r="BH51" s="118"/>
      <c r="BI51" s="118"/>
      <c r="BJ51" s="118"/>
      <c r="BK51" s="118"/>
      <c r="BL51" s="118"/>
      <c r="BM51" s="118"/>
      <c r="BN51" s="118"/>
      <c r="BQ51" s="119"/>
    </row>
    <row r="52" spans="2:69" ht="12">
      <c r="B52" s="118"/>
      <c r="C52" s="118"/>
      <c r="D52" s="118"/>
      <c r="E52" s="118"/>
      <c r="F52" s="118"/>
      <c r="G52" s="118"/>
      <c r="H52" s="118"/>
      <c r="I52" s="120"/>
      <c r="J52" s="120"/>
      <c r="K52" s="120"/>
      <c r="L52" s="120"/>
      <c r="M52" s="120"/>
      <c r="N52" s="120"/>
      <c r="O52" s="120"/>
      <c r="P52" s="120"/>
      <c r="Q52" s="120"/>
      <c r="R52" s="120"/>
      <c r="S52" s="120"/>
      <c r="T52" s="120"/>
      <c r="U52" s="120"/>
      <c r="V52" s="120"/>
      <c r="W52" s="120"/>
      <c r="X52" s="120"/>
      <c r="Y52" s="120"/>
      <c r="Z52" s="120"/>
      <c r="AA52" s="120"/>
      <c r="AB52" s="120"/>
      <c r="AD52" s="120"/>
      <c r="AE52" s="120"/>
      <c r="AF52" s="118"/>
      <c r="AG52" s="177"/>
      <c r="AH52" s="177"/>
      <c r="AI52" s="177"/>
      <c r="AJ52" s="177"/>
      <c r="AK52" s="177"/>
      <c r="AL52" s="177"/>
      <c r="AM52" s="177"/>
      <c r="AO52" s="118"/>
      <c r="AP52" s="118"/>
      <c r="AQ52" s="118"/>
      <c r="AR52" s="118"/>
      <c r="AS52" s="118"/>
      <c r="AT52" s="118"/>
      <c r="AU52" s="118"/>
      <c r="AV52" s="118"/>
      <c r="AW52" s="118"/>
      <c r="AX52" s="118"/>
      <c r="AY52" s="118"/>
      <c r="AZ52" s="118"/>
      <c r="BA52" s="118"/>
      <c r="BB52" s="118"/>
      <c r="BC52" s="118"/>
      <c r="BE52" s="118"/>
      <c r="BF52" s="118"/>
      <c r="BG52" s="118"/>
      <c r="BH52" s="118"/>
      <c r="BI52" s="118"/>
      <c r="BJ52" s="118"/>
      <c r="BK52" s="118"/>
      <c r="BL52" s="118"/>
      <c r="BM52" s="118"/>
      <c r="BN52" s="118"/>
      <c r="BQ52" s="119"/>
    </row>
    <row r="53" spans="2:69" ht="12">
      <c r="B53" s="118"/>
      <c r="C53" s="118"/>
      <c r="D53" s="118"/>
      <c r="E53" s="118"/>
      <c r="F53" s="118"/>
      <c r="G53" s="118"/>
      <c r="H53" s="118"/>
      <c r="I53" s="120"/>
      <c r="J53" s="120"/>
      <c r="K53" s="120"/>
      <c r="L53" s="120"/>
      <c r="M53" s="120"/>
      <c r="N53" s="120"/>
      <c r="O53" s="120"/>
      <c r="P53" s="120"/>
      <c r="Q53" s="120"/>
      <c r="R53" s="120"/>
      <c r="S53" s="120"/>
      <c r="T53" s="120"/>
      <c r="U53" s="120"/>
      <c r="V53" s="120"/>
      <c r="W53" s="120"/>
      <c r="X53" s="120"/>
      <c r="Y53" s="120"/>
      <c r="Z53" s="120"/>
      <c r="AA53" s="120"/>
      <c r="AB53" s="120"/>
      <c r="AD53" s="120"/>
      <c r="AE53" s="120"/>
      <c r="AF53" s="118"/>
      <c r="AG53" s="177"/>
      <c r="AH53" s="177"/>
      <c r="AI53" s="177"/>
      <c r="AJ53" s="177"/>
      <c r="AK53" s="177"/>
      <c r="AL53" s="177"/>
      <c r="AM53" s="177"/>
      <c r="AO53" s="118"/>
      <c r="AP53" s="118"/>
      <c r="AQ53" s="118"/>
      <c r="AR53" s="118"/>
      <c r="AS53" s="118"/>
      <c r="AT53" s="118"/>
      <c r="AU53" s="118"/>
      <c r="AV53" s="118"/>
      <c r="AW53" s="118"/>
      <c r="AX53" s="118"/>
      <c r="AY53" s="118"/>
      <c r="AZ53" s="118"/>
      <c r="BA53" s="118"/>
      <c r="BB53" s="118"/>
      <c r="BC53" s="118"/>
      <c r="BE53" s="118"/>
      <c r="BF53" s="118"/>
      <c r="BG53" s="118"/>
      <c r="BH53" s="118"/>
      <c r="BI53" s="118"/>
      <c r="BJ53" s="118"/>
      <c r="BK53" s="118"/>
      <c r="BL53" s="118"/>
      <c r="BM53" s="118"/>
      <c r="BN53" s="118"/>
      <c r="BQ53" s="119"/>
    </row>
    <row r="54" spans="2:69" ht="12">
      <c r="B54" s="118"/>
      <c r="C54" s="118"/>
      <c r="D54" s="118"/>
      <c r="E54" s="118"/>
      <c r="F54" s="118"/>
      <c r="G54" s="118"/>
      <c r="H54" s="118"/>
      <c r="I54" s="120"/>
      <c r="J54" s="120"/>
      <c r="K54" s="120"/>
      <c r="L54" s="120"/>
      <c r="M54" s="120"/>
      <c r="N54" s="120"/>
      <c r="O54" s="120"/>
      <c r="P54" s="120"/>
      <c r="Q54" s="120"/>
      <c r="R54" s="120"/>
      <c r="S54" s="120"/>
      <c r="T54" s="120"/>
      <c r="U54" s="120"/>
      <c r="V54" s="120"/>
      <c r="W54" s="120"/>
      <c r="X54" s="120"/>
      <c r="Y54" s="120"/>
      <c r="Z54" s="120"/>
      <c r="AA54" s="120"/>
      <c r="AB54" s="120"/>
      <c r="AD54" s="120"/>
      <c r="AE54" s="120"/>
      <c r="AF54" s="118"/>
      <c r="AG54" s="177"/>
      <c r="AH54" s="177"/>
      <c r="AI54" s="177"/>
      <c r="AJ54" s="177"/>
      <c r="AK54" s="177"/>
      <c r="AL54" s="177"/>
      <c r="AM54" s="177"/>
      <c r="AO54" s="118"/>
      <c r="AP54" s="118"/>
      <c r="AQ54" s="118"/>
      <c r="AR54" s="118"/>
      <c r="AS54" s="118"/>
      <c r="AT54" s="118"/>
      <c r="AU54" s="118"/>
      <c r="AV54" s="118"/>
      <c r="AW54" s="118"/>
      <c r="AX54" s="118"/>
      <c r="AY54" s="118"/>
      <c r="AZ54" s="118"/>
      <c r="BA54" s="118"/>
      <c r="BB54" s="118"/>
      <c r="BC54" s="118"/>
      <c r="BE54" s="118"/>
      <c r="BF54" s="118"/>
      <c r="BG54" s="118"/>
      <c r="BH54" s="118"/>
      <c r="BI54" s="118"/>
      <c r="BJ54" s="118"/>
      <c r="BK54" s="118"/>
      <c r="BL54" s="118"/>
      <c r="BM54" s="118"/>
      <c r="BN54" s="118"/>
      <c r="BQ54" s="119"/>
    </row>
    <row r="55" spans="2:69" ht="12">
      <c r="B55" s="118"/>
      <c r="C55" s="118"/>
      <c r="D55" s="118"/>
      <c r="E55" s="118"/>
      <c r="F55" s="118"/>
      <c r="G55" s="118"/>
      <c r="H55" s="118"/>
      <c r="I55" s="120"/>
      <c r="J55" s="120"/>
      <c r="K55" s="120"/>
      <c r="L55" s="120"/>
      <c r="M55" s="120"/>
      <c r="N55" s="120"/>
      <c r="O55" s="120"/>
      <c r="P55" s="120"/>
      <c r="Q55" s="120"/>
      <c r="R55" s="120"/>
      <c r="S55" s="120"/>
      <c r="T55" s="120"/>
      <c r="U55" s="120"/>
      <c r="V55" s="120"/>
      <c r="W55" s="120"/>
      <c r="X55" s="120"/>
      <c r="Y55" s="120"/>
      <c r="Z55" s="120"/>
      <c r="AA55" s="120"/>
      <c r="AB55" s="120"/>
      <c r="AD55" s="120"/>
      <c r="AE55" s="120"/>
      <c r="AF55" s="118"/>
      <c r="AG55" s="177"/>
      <c r="AH55" s="177"/>
      <c r="AI55" s="177"/>
      <c r="AJ55" s="177"/>
      <c r="AK55" s="177"/>
      <c r="AL55" s="177"/>
      <c r="AM55" s="177"/>
      <c r="AO55" s="118"/>
      <c r="AP55" s="118"/>
      <c r="AQ55" s="118"/>
      <c r="AR55" s="118"/>
      <c r="AS55" s="118"/>
      <c r="AT55" s="118"/>
      <c r="AU55" s="118"/>
      <c r="AV55" s="118"/>
      <c r="AW55" s="118"/>
      <c r="AX55" s="118"/>
      <c r="AY55" s="118"/>
      <c r="AZ55" s="118"/>
      <c r="BA55" s="118"/>
      <c r="BB55" s="118"/>
      <c r="BC55" s="118"/>
      <c r="BE55" s="118"/>
      <c r="BF55" s="118"/>
      <c r="BG55" s="118"/>
      <c r="BH55" s="118"/>
      <c r="BI55" s="118"/>
      <c r="BJ55" s="118"/>
      <c r="BK55" s="118"/>
      <c r="BL55" s="118"/>
      <c r="BM55" s="118"/>
      <c r="BN55" s="118"/>
      <c r="BQ55" s="119"/>
    </row>
    <row r="56" spans="2:69" ht="12">
      <c r="B56" s="118"/>
      <c r="C56" s="118"/>
      <c r="D56" s="118"/>
      <c r="E56" s="118"/>
      <c r="F56" s="118"/>
      <c r="G56" s="118"/>
      <c r="H56" s="118"/>
      <c r="I56" s="120"/>
      <c r="J56" s="120"/>
      <c r="K56" s="120"/>
      <c r="L56" s="120"/>
      <c r="M56" s="120"/>
      <c r="N56" s="120"/>
      <c r="O56" s="120"/>
      <c r="P56" s="120"/>
      <c r="Q56" s="120"/>
      <c r="R56" s="120"/>
      <c r="S56" s="120"/>
      <c r="T56" s="120"/>
      <c r="U56" s="120"/>
      <c r="V56" s="120"/>
      <c r="W56" s="120"/>
      <c r="X56" s="120"/>
      <c r="Y56" s="120"/>
      <c r="Z56" s="120"/>
      <c r="AA56" s="120"/>
      <c r="AB56" s="120"/>
      <c r="AD56" s="120"/>
      <c r="AE56" s="120"/>
      <c r="AF56" s="118"/>
      <c r="AG56" s="177"/>
      <c r="AH56" s="177"/>
      <c r="AI56" s="177"/>
      <c r="AJ56" s="177"/>
      <c r="AK56" s="177"/>
      <c r="AL56" s="177"/>
      <c r="AM56" s="177"/>
      <c r="AO56" s="118"/>
      <c r="AP56" s="118"/>
      <c r="AQ56" s="118"/>
      <c r="AR56" s="118"/>
      <c r="AS56" s="118"/>
      <c r="AT56" s="118"/>
      <c r="AU56" s="118"/>
      <c r="AV56" s="118"/>
      <c r="AW56" s="118"/>
      <c r="AX56" s="118"/>
      <c r="AY56" s="118"/>
      <c r="AZ56" s="118"/>
      <c r="BA56" s="118"/>
      <c r="BB56" s="118"/>
      <c r="BC56" s="118"/>
      <c r="BE56" s="118"/>
      <c r="BF56" s="118"/>
      <c r="BG56" s="118"/>
      <c r="BH56" s="118"/>
      <c r="BI56" s="118"/>
      <c r="BJ56" s="118"/>
      <c r="BK56" s="118"/>
      <c r="BL56" s="118"/>
      <c r="BM56" s="118"/>
      <c r="BN56" s="118"/>
      <c r="BQ56" s="119"/>
    </row>
    <row r="57" spans="2:69" ht="12">
      <c r="B57" s="118"/>
      <c r="C57" s="118"/>
      <c r="D57" s="118"/>
      <c r="E57" s="118"/>
      <c r="F57" s="118"/>
      <c r="G57" s="118"/>
      <c r="H57" s="118"/>
      <c r="I57" s="120"/>
      <c r="J57" s="120"/>
      <c r="K57" s="120"/>
      <c r="L57" s="120"/>
      <c r="M57" s="120"/>
      <c r="N57" s="120"/>
      <c r="O57" s="120"/>
      <c r="P57" s="120"/>
      <c r="Q57" s="120"/>
      <c r="R57" s="120"/>
      <c r="S57" s="120"/>
      <c r="T57" s="120"/>
      <c r="U57" s="120"/>
      <c r="V57" s="120"/>
      <c r="W57" s="120"/>
      <c r="X57" s="120"/>
      <c r="Y57" s="120"/>
      <c r="Z57" s="120"/>
      <c r="AA57" s="120"/>
      <c r="AB57" s="120"/>
      <c r="AD57" s="120"/>
      <c r="AE57" s="120"/>
      <c r="AF57" s="118"/>
      <c r="AG57" s="177"/>
      <c r="AH57" s="177"/>
      <c r="AI57" s="177"/>
      <c r="AJ57" s="177"/>
      <c r="AK57" s="177"/>
      <c r="AL57" s="177"/>
      <c r="AM57" s="177"/>
      <c r="AO57" s="118"/>
      <c r="AP57" s="118"/>
      <c r="AQ57" s="118"/>
      <c r="AR57" s="118"/>
      <c r="AS57" s="118"/>
      <c r="AT57" s="118"/>
      <c r="AU57" s="118"/>
      <c r="AV57" s="118"/>
      <c r="AW57" s="118"/>
      <c r="AX57" s="118"/>
      <c r="AY57" s="118"/>
      <c r="AZ57" s="118"/>
      <c r="BA57" s="118"/>
      <c r="BB57" s="118"/>
      <c r="BC57" s="118"/>
      <c r="BE57" s="118"/>
      <c r="BF57" s="118"/>
      <c r="BG57" s="118"/>
      <c r="BH57" s="118"/>
      <c r="BI57" s="118"/>
      <c r="BJ57" s="118"/>
      <c r="BK57" s="118"/>
      <c r="BL57" s="118"/>
      <c r="BM57" s="118"/>
      <c r="BN57" s="118"/>
      <c r="BQ57" s="119"/>
    </row>
    <row r="58" spans="2:69" ht="12">
      <c r="B58" s="118"/>
      <c r="C58" s="118"/>
      <c r="D58" s="118"/>
      <c r="E58" s="118"/>
      <c r="F58" s="118"/>
      <c r="G58" s="118"/>
      <c r="H58" s="118"/>
      <c r="I58" s="120"/>
      <c r="J58" s="120"/>
      <c r="K58" s="120"/>
      <c r="L58" s="120"/>
      <c r="M58" s="120"/>
      <c r="N58" s="120"/>
      <c r="O58" s="120"/>
      <c r="P58" s="120"/>
      <c r="Q58" s="120"/>
      <c r="R58" s="120"/>
      <c r="S58" s="120"/>
      <c r="T58" s="120"/>
      <c r="U58" s="120"/>
      <c r="V58" s="120"/>
      <c r="W58" s="120"/>
      <c r="X58" s="120"/>
      <c r="Y58" s="120"/>
      <c r="Z58" s="120"/>
      <c r="AA58" s="120"/>
      <c r="AB58" s="120"/>
      <c r="AD58" s="120"/>
      <c r="AE58" s="120"/>
      <c r="AF58" s="118"/>
      <c r="AG58" s="177"/>
      <c r="AH58" s="177"/>
      <c r="AI58" s="177"/>
      <c r="AJ58" s="177"/>
      <c r="AK58" s="177"/>
      <c r="AL58" s="177"/>
      <c r="AM58" s="177"/>
      <c r="AO58" s="118"/>
      <c r="AP58" s="118"/>
      <c r="AQ58" s="118"/>
      <c r="AR58" s="118"/>
      <c r="AS58" s="118"/>
      <c r="AT58" s="118"/>
      <c r="AU58" s="118"/>
      <c r="AV58" s="118"/>
      <c r="AW58" s="118"/>
      <c r="AX58" s="118"/>
      <c r="AY58" s="118"/>
      <c r="AZ58" s="118"/>
      <c r="BA58" s="118"/>
      <c r="BB58" s="118"/>
      <c r="BC58" s="118"/>
      <c r="BE58" s="118"/>
      <c r="BF58" s="118"/>
      <c r="BG58" s="118"/>
      <c r="BH58" s="118"/>
      <c r="BI58" s="118"/>
      <c r="BJ58" s="118"/>
      <c r="BK58" s="118"/>
      <c r="BL58" s="118"/>
      <c r="BM58" s="118"/>
      <c r="BN58" s="118"/>
      <c r="BQ58" s="119"/>
    </row>
    <row r="59" spans="2:69" ht="12">
      <c r="B59" s="118"/>
      <c r="C59" s="118"/>
      <c r="D59" s="118"/>
      <c r="E59" s="118"/>
      <c r="F59" s="118"/>
      <c r="G59" s="118"/>
      <c r="H59" s="118"/>
      <c r="I59" s="120"/>
      <c r="J59" s="120"/>
      <c r="K59" s="120"/>
      <c r="L59" s="120"/>
      <c r="M59" s="120"/>
      <c r="N59" s="120"/>
      <c r="O59" s="120"/>
      <c r="P59" s="120"/>
      <c r="Q59" s="120"/>
      <c r="R59" s="120"/>
      <c r="S59" s="120"/>
      <c r="T59" s="120"/>
      <c r="U59" s="120"/>
      <c r="V59" s="120"/>
      <c r="W59" s="120"/>
      <c r="X59" s="120"/>
      <c r="Y59" s="120"/>
      <c r="Z59" s="120"/>
      <c r="AA59" s="120"/>
      <c r="AB59" s="120"/>
      <c r="AD59" s="120"/>
      <c r="AE59" s="120"/>
      <c r="AF59" s="118"/>
      <c r="AG59" s="177"/>
      <c r="AH59" s="177"/>
      <c r="AI59" s="177"/>
      <c r="AJ59" s="177"/>
      <c r="AK59" s="177"/>
      <c r="AL59" s="177"/>
      <c r="AM59" s="177"/>
      <c r="AO59" s="118"/>
      <c r="AP59" s="118"/>
      <c r="AQ59" s="118"/>
      <c r="AR59" s="118"/>
      <c r="AS59" s="118"/>
      <c r="AT59" s="118"/>
      <c r="AU59" s="118"/>
      <c r="AV59" s="118"/>
      <c r="AW59" s="118"/>
      <c r="AX59" s="118"/>
      <c r="AY59" s="118"/>
      <c r="AZ59" s="118"/>
      <c r="BA59" s="118"/>
      <c r="BB59" s="118"/>
      <c r="BC59" s="118"/>
      <c r="BE59" s="118"/>
      <c r="BF59" s="118"/>
      <c r="BG59" s="118"/>
      <c r="BH59" s="118"/>
      <c r="BI59" s="118"/>
      <c r="BJ59" s="118"/>
      <c r="BK59" s="118"/>
      <c r="BL59" s="118"/>
      <c r="BM59" s="118"/>
      <c r="BN59" s="118"/>
      <c r="BQ59" s="119"/>
    </row>
    <row r="60" spans="2:69" ht="12">
      <c r="B60" s="118"/>
      <c r="C60" s="118"/>
      <c r="D60" s="118"/>
      <c r="E60" s="118"/>
      <c r="F60" s="118"/>
      <c r="G60" s="118"/>
      <c r="H60" s="118"/>
      <c r="I60" s="120"/>
      <c r="J60" s="120"/>
      <c r="K60" s="120"/>
      <c r="L60" s="120"/>
      <c r="M60" s="120"/>
      <c r="N60" s="120"/>
      <c r="O60" s="120"/>
      <c r="P60" s="120"/>
      <c r="Q60" s="120"/>
      <c r="R60" s="120"/>
      <c r="S60" s="120"/>
      <c r="T60" s="120"/>
      <c r="U60" s="120"/>
      <c r="V60" s="120"/>
      <c r="W60" s="120"/>
      <c r="X60" s="120"/>
      <c r="Y60" s="120"/>
      <c r="Z60" s="120"/>
      <c r="AA60" s="120"/>
      <c r="AB60" s="120"/>
      <c r="AD60" s="120"/>
      <c r="AE60" s="120"/>
      <c r="AF60" s="118"/>
      <c r="AG60" s="177"/>
      <c r="AH60" s="177"/>
      <c r="AI60" s="177"/>
      <c r="AJ60" s="177"/>
      <c r="AK60" s="177"/>
      <c r="AL60" s="177"/>
      <c r="AM60" s="177"/>
      <c r="AO60" s="118"/>
      <c r="AP60" s="118"/>
      <c r="AQ60" s="118"/>
      <c r="AR60" s="118"/>
      <c r="AS60" s="118"/>
      <c r="AT60" s="118"/>
      <c r="AU60" s="118"/>
      <c r="AV60" s="118"/>
      <c r="AW60" s="118"/>
      <c r="AX60" s="118"/>
      <c r="AY60" s="118"/>
      <c r="AZ60" s="118"/>
      <c r="BA60" s="118"/>
      <c r="BB60" s="118"/>
      <c r="BC60" s="118"/>
      <c r="BE60" s="118"/>
      <c r="BF60" s="118"/>
      <c r="BG60" s="118"/>
      <c r="BH60" s="118"/>
      <c r="BI60" s="118"/>
      <c r="BJ60" s="118"/>
      <c r="BK60" s="118"/>
      <c r="BL60" s="118"/>
      <c r="BM60" s="118"/>
      <c r="BN60" s="118"/>
      <c r="BQ60" s="119"/>
    </row>
    <row r="61" spans="2:69" ht="12">
      <c r="B61" s="118"/>
      <c r="C61" s="118"/>
      <c r="D61" s="118"/>
      <c r="E61" s="118"/>
      <c r="F61" s="118"/>
      <c r="G61" s="118"/>
      <c r="H61" s="118"/>
      <c r="I61" s="120"/>
      <c r="J61" s="120"/>
      <c r="K61" s="120"/>
      <c r="L61" s="120"/>
      <c r="M61" s="120"/>
      <c r="N61" s="120"/>
      <c r="O61" s="120"/>
      <c r="P61" s="120"/>
      <c r="Q61" s="120"/>
      <c r="R61" s="120"/>
      <c r="S61" s="120"/>
      <c r="T61" s="120"/>
      <c r="U61" s="120"/>
      <c r="V61" s="120"/>
      <c r="W61" s="120"/>
      <c r="X61" s="120"/>
      <c r="Y61" s="120"/>
      <c r="Z61" s="120"/>
      <c r="AA61" s="120"/>
      <c r="AB61" s="120"/>
      <c r="AD61" s="120"/>
      <c r="AE61" s="120"/>
      <c r="AF61" s="118"/>
      <c r="AG61" s="177"/>
      <c r="AH61" s="177"/>
      <c r="AI61" s="177"/>
      <c r="AJ61" s="177"/>
      <c r="AK61" s="177"/>
      <c r="AL61" s="177"/>
      <c r="AM61" s="177"/>
      <c r="AO61" s="118"/>
      <c r="AP61" s="118"/>
      <c r="AQ61" s="118"/>
      <c r="AR61" s="118"/>
      <c r="AS61" s="118"/>
      <c r="AT61" s="118"/>
      <c r="AU61" s="118"/>
      <c r="AV61" s="118"/>
      <c r="AW61" s="118"/>
      <c r="AX61" s="118"/>
      <c r="AY61" s="118"/>
      <c r="AZ61" s="118"/>
      <c r="BA61" s="118"/>
      <c r="BB61" s="118"/>
      <c r="BC61" s="118"/>
      <c r="BE61" s="118"/>
      <c r="BF61" s="118"/>
      <c r="BG61" s="118"/>
      <c r="BH61" s="118"/>
      <c r="BI61" s="118"/>
      <c r="BJ61" s="118"/>
      <c r="BK61" s="118"/>
      <c r="BL61" s="118"/>
      <c r="BM61" s="118"/>
      <c r="BN61" s="118"/>
      <c r="BQ61" s="119"/>
    </row>
    <row r="62" spans="2:69" ht="12">
      <c r="B62" s="118"/>
      <c r="C62" s="118"/>
      <c r="D62" s="118"/>
      <c r="E62" s="118"/>
      <c r="F62" s="118"/>
      <c r="G62" s="118"/>
      <c r="H62" s="118"/>
      <c r="I62" s="120"/>
      <c r="J62" s="120"/>
      <c r="K62" s="120"/>
      <c r="L62" s="120"/>
      <c r="M62" s="120"/>
      <c r="N62" s="120"/>
      <c r="O62" s="120"/>
      <c r="P62" s="120"/>
      <c r="Q62" s="120"/>
      <c r="R62" s="120"/>
      <c r="S62" s="120"/>
      <c r="T62" s="120"/>
      <c r="U62" s="120"/>
      <c r="V62" s="120"/>
      <c r="W62" s="120"/>
      <c r="X62" s="120"/>
      <c r="Y62" s="120"/>
      <c r="Z62" s="120"/>
      <c r="AA62" s="120"/>
      <c r="AB62" s="120"/>
      <c r="AD62" s="120"/>
      <c r="AE62" s="120"/>
      <c r="AF62" s="118"/>
      <c r="AG62" s="177"/>
      <c r="AH62" s="177"/>
      <c r="AI62" s="177"/>
      <c r="AJ62" s="177"/>
      <c r="AK62" s="177"/>
      <c r="AL62" s="177"/>
      <c r="AM62" s="177"/>
      <c r="AO62" s="118"/>
      <c r="AP62" s="118"/>
      <c r="AQ62" s="118"/>
      <c r="AR62" s="118"/>
      <c r="AS62" s="118"/>
      <c r="AT62" s="118"/>
      <c r="AU62" s="118"/>
      <c r="AV62" s="118"/>
      <c r="AW62" s="118"/>
      <c r="AX62" s="118"/>
      <c r="AY62" s="118"/>
      <c r="AZ62" s="118"/>
      <c r="BA62" s="118"/>
      <c r="BB62" s="118"/>
      <c r="BC62" s="118"/>
      <c r="BE62" s="118"/>
      <c r="BF62" s="118"/>
      <c r="BG62" s="118"/>
      <c r="BH62" s="118"/>
      <c r="BI62" s="118"/>
      <c r="BJ62" s="118"/>
      <c r="BK62" s="118"/>
      <c r="BL62" s="118"/>
      <c r="BM62" s="118"/>
      <c r="BN62" s="118"/>
      <c r="BQ62" s="119"/>
    </row>
    <row r="63" spans="2:69" ht="12">
      <c r="B63" s="118"/>
      <c r="C63" s="118"/>
      <c r="D63" s="118"/>
      <c r="E63" s="118"/>
      <c r="F63" s="118"/>
      <c r="G63" s="118"/>
      <c r="H63" s="118"/>
      <c r="I63" s="120"/>
      <c r="J63" s="120"/>
      <c r="K63" s="120"/>
      <c r="L63" s="120"/>
      <c r="M63" s="120"/>
      <c r="N63" s="120"/>
      <c r="O63" s="120"/>
      <c r="P63" s="120"/>
      <c r="Q63" s="120"/>
      <c r="R63" s="120"/>
      <c r="S63" s="120"/>
      <c r="T63" s="120"/>
      <c r="U63" s="120"/>
      <c r="V63" s="120"/>
      <c r="W63" s="120"/>
      <c r="X63" s="120"/>
      <c r="Y63" s="120"/>
      <c r="Z63" s="120"/>
      <c r="AA63" s="120"/>
      <c r="AB63" s="120"/>
      <c r="AD63" s="120"/>
      <c r="AE63" s="120"/>
      <c r="AF63" s="118"/>
      <c r="AG63" s="177"/>
      <c r="AH63" s="177"/>
      <c r="AI63" s="177"/>
      <c r="AJ63" s="177"/>
      <c r="AK63" s="177"/>
      <c r="AL63" s="177"/>
      <c r="AM63" s="177"/>
      <c r="AO63" s="118"/>
      <c r="AP63" s="118"/>
      <c r="AQ63" s="118"/>
      <c r="AR63" s="118"/>
      <c r="AS63" s="118"/>
      <c r="AT63" s="118"/>
      <c r="AU63" s="118"/>
      <c r="AV63" s="118"/>
      <c r="AW63" s="118"/>
      <c r="AX63" s="118"/>
      <c r="AY63" s="118"/>
      <c r="AZ63" s="118"/>
      <c r="BA63" s="118"/>
      <c r="BB63" s="118"/>
      <c r="BC63" s="118"/>
      <c r="BE63" s="118"/>
      <c r="BF63" s="118"/>
      <c r="BG63" s="118"/>
      <c r="BH63" s="118"/>
      <c r="BI63" s="118"/>
      <c r="BJ63" s="118"/>
      <c r="BK63" s="118"/>
      <c r="BL63" s="118"/>
      <c r="BM63" s="118"/>
      <c r="BN63" s="118"/>
      <c r="BQ63" s="119"/>
    </row>
    <row r="64" spans="2:69" ht="12">
      <c r="B64" s="118"/>
      <c r="C64" s="118"/>
      <c r="D64" s="118"/>
      <c r="E64" s="118"/>
      <c r="F64" s="118"/>
      <c r="G64" s="118"/>
      <c r="H64" s="118"/>
      <c r="I64" s="120"/>
      <c r="J64" s="120"/>
      <c r="K64" s="120"/>
      <c r="L64" s="120"/>
      <c r="M64" s="120"/>
      <c r="N64" s="120"/>
      <c r="O64" s="120"/>
      <c r="P64" s="120"/>
      <c r="Q64" s="120"/>
      <c r="R64" s="120"/>
      <c r="S64" s="120"/>
      <c r="T64" s="120"/>
      <c r="U64" s="120"/>
      <c r="V64" s="120"/>
      <c r="W64" s="120"/>
      <c r="X64" s="120"/>
      <c r="Y64" s="120"/>
      <c r="Z64" s="120"/>
      <c r="AA64" s="120"/>
      <c r="AB64" s="120"/>
      <c r="AD64" s="120"/>
      <c r="AE64" s="120"/>
      <c r="AF64" s="118"/>
      <c r="AG64" s="177"/>
      <c r="AH64" s="177"/>
      <c r="AI64" s="177"/>
      <c r="AJ64" s="177"/>
      <c r="AK64" s="177"/>
      <c r="AL64" s="177"/>
      <c r="AM64" s="177"/>
      <c r="AO64" s="118"/>
      <c r="AP64" s="118"/>
      <c r="AQ64" s="118"/>
      <c r="AR64" s="118"/>
      <c r="AS64" s="118"/>
      <c r="AT64" s="118"/>
      <c r="AU64" s="118"/>
      <c r="AV64" s="118"/>
      <c r="AW64" s="118"/>
      <c r="AX64" s="118"/>
      <c r="AY64" s="118"/>
      <c r="AZ64" s="118"/>
      <c r="BA64" s="118"/>
      <c r="BB64" s="118"/>
      <c r="BC64" s="118"/>
      <c r="BE64" s="118"/>
      <c r="BF64" s="118"/>
      <c r="BG64" s="118"/>
      <c r="BH64" s="118"/>
      <c r="BI64" s="118"/>
      <c r="BJ64" s="118"/>
      <c r="BK64" s="118"/>
      <c r="BL64" s="118"/>
      <c r="BM64" s="118"/>
      <c r="BN64" s="118"/>
      <c r="BQ64" s="119"/>
    </row>
    <row r="65" spans="2:69" ht="12">
      <c r="B65" s="118"/>
      <c r="C65" s="118"/>
      <c r="D65" s="118"/>
      <c r="E65" s="118"/>
      <c r="F65" s="118"/>
      <c r="G65" s="118"/>
      <c r="H65" s="118"/>
      <c r="I65" s="120"/>
      <c r="J65" s="120"/>
      <c r="K65" s="120"/>
      <c r="L65" s="120"/>
      <c r="M65" s="120"/>
      <c r="N65" s="120"/>
      <c r="O65" s="120"/>
      <c r="P65" s="120"/>
      <c r="Q65" s="120"/>
      <c r="R65" s="120"/>
      <c r="S65" s="120"/>
      <c r="T65" s="120"/>
      <c r="U65" s="120"/>
      <c r="V65" s="120"/>
      <c r="W65" s="120"/>
      <c r="X65" s="120"/>
      <c r="Y65" s="120"/>
      <c r="Z65" s="120"/>
      <c r="AA65" s="120"/>
      <c r="AB65" s="120"/>
      <c r="AD65" s="120"/>
      <c r="AE65" s="120"/>
      <c r="AF65" s="118"/>
      <c r="AG65" s="177"/>
      <c r="AH65" s="177"/>
      <c r="AI65" s="177"/>
      <c r="AJ65" s="177"/>
      <c r="AK65" s="177"/>
      <c r="AL65" s="177"/>
      <c r="AM65" s="177"/>
      <c r="AO65" s="118"/>
      <c r="AP65" s="118"/>
      <c r="AQ65" s="118"/>
      <c r="AR65" s="118"/>
      <c r="AS65" s="118"/>
      <c r="AT65" s="118"/>
      <c r="AU65" s="118"/>
      <c r="AV65" s="118"/>
      <c r="AW65" s="118"/>
      <c r="AX65" s="118"/>
      <c r="AY65" s="118"/>
      <c r="AZ65" s="118"/>
      <c r="BA65" s="118"/>
      <c r="BB65" s="118"/>
      <c r="BC65" s="118"/>
      <c r="BE65" s="118"/>
      <c r="BF65" s="118"/>
      <c r="BG65" s="118"/>
      <c r="BH65" s="118"/>
      <c r="BI65" s="118"/>
      <c r="BJ65" s="118"/>
      <c r="BK65" s="118"/>
      <c r="BL65" s="118"/>
      <c r="BM65" s="118"/>
      <c r="BN65" s="118"/>
      <c r="BQ65" s="119"/>
    </row>
    <row r="66" spans="2:69" ht="12">
      <c r="B66" s="118"/>
      <c r="C66" s="118"/>
      <c r="D66" s="118"/>
      <c r="E66" s="118"/>
      <c r="F66" s="118"/>
      <c r="G66" s="118"/>
      <c r="H66" s="118"/>
      <c r="I66" s="120"/>
      <c r="J66" s="120"/>
      <c r="K66" s="120"/>
      <c r="L66" s="120"/>
      <c r="M66" s="120"/>
      <c r="N66" s="120"/>
      <c r="O66" s="120"/>
      <c r="P66" s="120"/>
      <c r="Q66" s="120"/>
      <c r="R66" s="120"/>
      <c r="S66" s="120"/>
      <c r="T66" s="120"/>
      <c r="U66" s="120"/>
      <c r="V66" s="120"/>
      <c r="W66" s="120"/>
      <c r="X66" s="120"/>
      <c r="Y66" s="120"/>
      <c r="Z66" s="120"/>
      <c r="AA66" s="120"/>
      <c r="AB66" s="120"/>
      <c r="AD66" s="120"/>
      <c r="AE66" s="120"/>
      <c r="AF66" s="118"/>
      <c r="AG66" s="177"/>
      <c r="AH66" s="177"/>
      <c r="AI66" s="177"/>
      <c r="AJ66" s="177"/>
      <c r="AK66" s="177"/>
      <c r="AL66" s="177"/>
      <c r="AM66" s="177"/>
      <c r="AO66" s="118"/>
      <c r="AP66" s="118"/>
      <c r="AQ66" s="118"/>
      <c r="AR66" s="118"/>
      <c r="AS66" s="118"/>
      <c r="AT66" s="118"/>
      <c r="AU66" s="118"/>
      <c r="AV66" s="118"/>
      <c r="AW66" s="118"/>
      <c r="AX66" s="118"/>
      <c r="AY66" s="118"/>
      <c r="AZ66" s="118"/>
      <c r="BA66" s="118"/>
      <c r="BB66" s="118"/>
      <c r="BC66" s="118"/>
      <c r="BE66" s="118"/>
      <c r="BF66" s="118"/>
      <c r="BG66" s="118"/>
      <c r="BH66" s="118"/>
      <c r="BI66" s="118"/>
      <c r="BJ66" s="118"/>
      <c r="BK66" s="118"/>
      <c r="BL66" s="118"/>
      <c r="BM66" s="118"/>
      <c r="BN66" s="118"/>
      <c r="BQ66" s="119"/>
    </row>
    <row r="67" spans="2:69" ht="12">
      <c r="B67" s="118"/>
      <c r="C67" s="118"/>
      <c r="D67" s="118"/>
      <c r="E67" s="118"/>
      <c r="F67" s="118"/>
      <c r="G67" s="118"/>
      <c r="H67" s="118"/>
      <c r="I67" s="120"/>
      <c r="J67" s="120"/>
      <c r="K67" s="120"/>
      <c r="L67" s="120"/>
      <c r="M67" s="120"/>
      <c r="N67" s="120"/>
      <c r="O67" s="120"/>
      <c r="P67" s="120"/>
      <c r="Q67" s="120"/>
      <c r="R67" s="120"/>
      <c r="S67" s="120"/>
      <c r="T67" s="120"/>
      <c r="U67" s="120"/>
      <c r="V67" s="120"/>
      <c r="W67" s="120"/>
      <c r="X67" s="120"/>
      <c r="Y67" s="120"/>
      <c r="Z67" s="120"/>
      <c r="AA67" s="120"/>
      <c r="AB67" s="120"/>
      <c r="AD67" s="120"/>
      <c r="AE67" s="120"/>
      <c r="AF67" s="118"/>
      <c r="AG67" s="177"/>
      <c r="AH67" s="177"/>
      <c r="AI67" s="177"/>
      <c r="AJ67" s="177"/>
      <c r="AK67" s="177"/>
      <c r="AL67" s="177"/>
      <c r="AM67" s="177"/>
      <c r="AO67" s="118"/>
      <c r="AP67" s="118"/>
      <c r="AQ67" s="118"/>
      <c r="AR67" s="118"/>
      <c r="AS67" s="118"/>
      <c r="AT67" s="118"/>
      <c r="AU67" s="118"/>
      <c r="AV67" s="118"/>
      <c r="AW67" s="118"/>
      <c r="AX67" s="118"/>
      <c r="AY67" s="118"/>
      <c r="AZ67" s="118"/>
      <c r="BA67" s="118"/>
      <c r="BB67" s="118"/>
      <c r="BC67" s="118"/>
      <c r="BE67" s="118"/>
      <c r="BF67" s="118"/>
      <c r="BG67" s="118"/>
      <c r="BH67" s="118"/>
      <c r="BI67" s="118"/>
      <c r="BJ67" s="118"/>
      <c r="BK67" s="118"/>
      <c r="BL67" s="118"/>
      <c r="BM67" s="118"/>
      <c r="BN67" s="118"/>
      <c r="BQ67" s="119"/>
    </row>
    <row r="68" spans="2:69" ht="12">
      <c r="B68" s="118"/>
      <c r="C68" s="118"/>
      <c r="D68" s="118"/>
      <c r="E68" s="118"/>
      <c r="F68" s="118"/>
      <c r="G68" s="118"/>
      <c r="H68" s="118"/>
      <c r="I68" s="120"/>
      <c r="J68" s="120"/>
      <c r="K68" s="120"/>
      <c r="L68" s="120"/>
      <c r="M68" s="120"/>
      <c r="N68" s="120"/>
      <c r="O68" s="120"/>
      <c r="P68" s="120"/>
      <c r="Q68" s="120"/>
      <c r="R68" s="120"/>
      <c r="S68" s="120"/>
      <c r="T68" s="120"/>
      <c r="U68" s="120"/>
      <c r="V68" s="120"/>
      <c r="W68" s="120"/>
      <c r="X68" s="120"/>
      <c r="Y68" s="120"/>
      <c r="Z68" s="120"/>
      <c r="AA68" s="120"/>
      <c r="AB68" s="120"/>
      <c r="AD68" s="120"/>
      <c r="AE68" s="120"/>
      <c r="AF68" s="118"/>
      <c r="AG68" s="177"/>
      <c r="AH68" s="177"/>
      <c r="AI68" s="177"/>
      <c r="AJ68" s="177"/>
      <c r="AK68" s="177"/>
      <c r="AL68" s="177"/>
      <c r="AM68" s="177"/>
      <c r="AO68" s="118"/>
      <c r="AP68" s="118"/>
      <c r="AQ68" s="118"/>
      <c r="AR68" s="118"/>
      <c r="AS68" s="118"/>
      <c r="AT68" s="118"/>
      <c r="AU68" s="118"/>
      <c r="AV68" s="118"/>
      <c r="AW68" s="118"/>
      <c r="AX68" s="118"/>
      <c r="AY68" s="118"/>
      <c r="AZ68" s="118"/>
      <c r="BA68" s="118"/>
      <c r="BB68" s="118"/>
      <c r="BC68" s="118"/>
      <c r="BE68" s="118"/>
      <c r="BF68" s="118"/>
      <c r="BG68" s="118"/>
      <c r="BH68" s="118"/>
      <c r="BI68" s="118"/>
      <c r="BJ68" s="118"/>
      <c r="BK68" s="118"/>
      <c r="BL68" s="118"/>
      <c r="BM68" s="118"/>
      <c r="BN68" s="118"/>
      <c r="BQ68" s="119"/>
    </row>
    <row r="69" spans="2:69" ht="12">
      <c r="B69" s="118"/>
      <c r="C69" s="118"/>
      <c r="D69" s="118"/>
      <c r="E69" s="118"/>
      <c r="F69" s="118"/>
      <c r="G69" s="118"/>
      <c r="H69" s="118"/>
      <c r="I69" s="120"/>
      <c r="J69" s="120"/>
      <c r="K69" s="120"/>
      <c r="L69" s="120"/>
      <c r="M69" s="120"/>
      <c r="N69" s="120"/>
      <c r="O69" s="120"/>
      <c r="P69" s="120"/>
      <c r="Q69" s="120"/>
      <c r="R69" s="120"/>
      <c r="S69" s="120"/>
      <c r="T69" s="120"/>
      <c r="U69" s="120"/>
      <c r="V69" s="120"/>
      <c r="W69" s="120"/>
      <c r="X69" s="120"/>
      <c r="Y69" s="120"/>
      <c r="Z69" s="120"/>
      <c r="AA69" s="120"/>
      <c r="AB69" s="120"/>
      <c r="AD69" s="120"/>
      <c r="AE69" s="120"/>
      <c r="AF69" s="118"/>
      <c r="AG69" s="177"/>
      <c r="AH69" s="177"/>
      <c r="AI69" s="177"/>
      <c r="AJ69" s="177"/>
      <c r="AK69" s="177"/>
      <c r="AL69" s="177"/>
      <c r="AM69" s="177"/>
      <c r="AO69" s="118"/>
      <c r="AP69" s="118"/>
      <c r="AQ69" s="118"/>
      <c r="AR69" s="118"/>
      <c r="AS69" s="118"/>
      <c r="AT69" s="118"/>
      <c r="AU69" s="118"/>
      <c r="AV69" s="118"/>
      <c r="AW69" s="118"/>
      <c r="AX69" s="118"/>
      <c r="AY69" s="118"/>
      <c r="AZ69" s="118"/>
      <c r="BA69" s="118"/>
      <c r="BB69" s="118"/>
      <c r="BC69" s="118"/>
      <c r="BE69" s="118"/>
      <c r="BF69" s="118"/>
      <c r="BG69" s="118"/>
      <c r="BH69" s="118"/>
      <c r="BI69" s="118"/>
      <c r="BJ69" s="118"/>
      <c r="BK69" s="118"/>
      <c r="BL69" s="118"/>
      <c r="BM69" s="118"/>
      <c r="BN69" s="118"/>
      <c r="BQ69" s="119"/>
    </row>
    <row r="70" spans="2:69" ht="12">
      <c r="B70" s="118"/>
      <c r="C70" s="118"/>
      <c r="D70" s="118"/>
      <c r="E70" s="118"/>
      <c r="F70" s="118"/>
      <c r="G70" s="118"/>
      <c r="H70" s="118"/>
      <c r="I70" s="120"/>
      <c r="J70" s="120"/>
      <c r="K70" s="120"/>
      <c r="L70" s="120"/>
      <c r="M70" s="120"/>
      <c r="N70" s="120"/>
      <c r="O70" s="120"/>
      <c r="P70" s="120"/>
      <c r="Q70" s="120"/>
      <c r="R70" s="120"/>
      <c r="S70" s="120"/>
      <c r="T70" s="120"/>
      <c r="U70" s="120"/>
      <c r="V70" s="120"/>
      <c r="W70" s="120"/>
      <c r="X70" s="120"/>
      <c r="Y70" s="120"/>
      <c r="Z70" s="120"/>
      <c r="AA70" s="120"/>
      <c r="AB70" s="120"/>
      <c r="AD70" s="120"/>
      <c r="AE70" s="120"/>
      <c r="AF70" s="118"/>
      <c r="AG70" s="177"/>
      <c r="AH70" s="177"/>
      <c r="AI70" s="177"/>
      <c r="AJ70" s="177"/>
      <c r="AK70" s="177"/>
      <c r="AL70" s="177"/>
      <c r="AM70" s="177"/>
      <c r="AO70" s="118"/>
      <c r="AP70" s="118"/>
      <c r="AQ70" s="118"/>
      <c r="AR70" s="118"/>
      <c r="AS70" s="118"/>
      <c r="AT70" s="118"/>
      <c r="AU70" s="118"/>
      <c r="AV70" s="118"/>
      <c r="AW70" s="118"/>
      <c r="AX70" s="118"/>
      <c r="AY70" s="118"/>
      <c r="AZ70" s="118"/>
      <c r="BA70" s="118"/>
      <c r="BB70" s="118"/>
      <c r="BC70" s="118"/>
      <c r="BE70" s="118"/>
      <c r="BF70" s="118"/>
      <c r="BG70" s="118"/>
      <c r="BH70" s="118"/>
      <c r="BI70" s="118"/>
      <c r="BJ70" s="118"/>
      <c r="BK70" s="118"/>
      <c r="BL70" s="118"/>
      <c r="BM70" s="118"/>
      <c r="BN70" s="118"/>
      <c r="BQ70" s="119"/>
    </row>
    <row r="71" spans="2:69" ht="12">
      <c r="B71" s="118"/>
      <c r="C71" s="118"/>
      <c r="D71" s="118"/>
      <c r="E71" s="118"/>
      <c r="F71" s="118"/>
      <c r="G71" s="118"/>
      <c r="H71" s="118"/>
      <c r="I71" s="120"/>
      <c r="J71" s="120"/>
      <c r="K71" s="120"/>
      <c r="L71" s="120"/>
      <c r="M71" s="120"/>
      <c r="N71" s="120"/>
      <c r="O71" s="120"/>
      <c r="P71" s="120"/>
      <c r="Q71" s="120"/>
      <c r="R71" s="120"/>
      <c r="S71" s="120"/>
      <c r="T71" s="120"/>
      <c r="U71" s="120"/>
      <c r="V71" s="120"/>
      <c r="W71" s="120"/>
      <c r="X71" s="120"/>
      <c r="Y71" s="120"/>
      <c r="Z71" s="120"/>
      <c r="AA71" s="120"/>
      <c r="AB71" s="120"/>
      <c r="AD71" s="120"/>
      <c r="AE71" s="120"/>
      <c r="AF71" s="118"/>
      <c r="AG71" s="177"/>
      <c r="AH71" s="177"/>
      <c r="AI71" s="177"/>
      <c r="AJ71" s="177"/>
      <c r="AK71" s="177"/>
      <c r="AL71" s="177"/>
      <c r="AM71" s="177"/>
      <c r="AO71" s="118"/>
      <c r="AP71" s="118"/>
      <c r="AQ71" s="118"/>
      <c r="AR71" s="118"/>
      <c r="AS71" s="118"/>
      <c r="AT71" s="118"/>
      <c r="AU71" s="118"/>
      <c r="AV71" s="118"/>
      <c r="AW71" s="118"/>
      <c r="AX71" s="118"/>
      <c r="AY71" s="118"/>
      <c r="AZ71" s="118"/>
      <c r="BA71" s="118"/>
      <c r="BB71" s="118"/>
      <c r="BC71" s="118"/>
      <c r="BE71" s="118"/>
      <c r="BF71" s="118"/>
      <c r="BG71" s="118"/>
      <c r="BH71" s="118"/>
      <c r="BI71" s="118"/>
      <c r="BJ71" s="118"/>
      <c r="BK71" s="118"/>
      <c r="BL71" s="118"/>
      <c r="BM71" s="118"/>
      <c r="BN71" s="118"/>
      <c r="BQ71" s="119"/>
    </row>
    <row r="72" spans="2:69" ht="12">
      <c r="B72" s="118"/>
      <c r="C72" s="118"/>
      <c r="D72" s="118"/>
      <c r="E72" s="118"/>
      <c r="F72" s="118"/>
      <c r="G72" s="118"/>
      <c r="H72" s="118"/>
      <c r="I72" s="120"/>
      <c r="J72" s="120"/>
      <c r="K72" s="120"/>
      <c r="L72" s="120"/>
      <c r="M72" s="120"/>
      <c r="N72" s="120"/>
      <c r="O72" s="120"/>
      <c r="P72" s="120"/>
      <c r="Q72" s="120"/>
      <c r="R72" s="120"/>
      <c r="S72" s="120"/>
      <c r="T72" s="120"/>
      <c r="U72" s="120"/>
      <c r="V72" s="120"/>
      <c r="W72" s="120"/>
      <c r="X72" s="120"/>
      <c r="Y72" s="120"/>
      <c r="Z72" s="120"/>
      <c r="AA72" s="120"/>
      <c r="AB72" s="120"/>
      <c r="AD72" s="120"/>
      <c r="AE72" s="120"/>
      <c r="AF72" s="118"/>
      <c r="AG72" s="177"/>
      <c r="AH72" s="177"/>
      <c r="AI72" s="177"/>
      <c r="AJ72" s="177"/>
      <c r="AK72" s="177"/>
      <c r="AL72" s="177"/>
      <c r="AM72" s="177"/>
      <c r="AO72" s="118"/>
      <c r="AP72" s="118"/>
      <c r="AQ72" s="118"/>
      <c r="AR72" s="118"/>
      <c r="AS72" s="118"/>
      <c r="AT72" s="118"/>
      <c r="AU72" s="118"/>
      <c r="AV72" s="118"/>
      <c r="AW72" s="118"/>
      <c r="AX72" s="118"/>
      <c r="AY72" s="118"/>
      <c r="AZ72" s="118"/>
      <c r="BA72" s="118"/>
      <c r="BB72" s="118"/>
      <c r="BC72" s="118"/>
      <c r="BE72" s="118"/>
      <c r="BF72" s="118"/>
      <c r="BG72" s="118"/>
      <c r="BH72" s="118"/>
      <c r="BI72" s="118"/>
      <c r="BJ72" s="118"/>
      <c r="BK72" s="118"/>
      <c r="BL72" s="118"/>
      <c r="BM72" s="118"/>
      <c r="BN72" s="118"/>
      <c r="BQ72" s="119"/>
    </row>
    <row r="73" spans="2:69" ht="12">
      <c r="B73" s="118"/>
      <c r="C73" s="118"/>
      <c r="D73" s="118"/>
      <c r="E73" s="118"/>
      <c r="F73" s="118"/>
      <c r="G73" s="118"/>
      <c r="H73" s="118"/>
      <c r="I73" s="120"/>
      <c r="J73" s="120"/>
      <c r="K73" s="120"/>
      <c r="L73" s="120"/>
      <c r="M73" s="120"/>
      <c r="N73" s="120"/>
      <c r="O73" s="120"/>
      <c r="P73" s="120"/>
      <c r="Q73" s="120"/>
      <c r="R73" s="120"/>
      <c r="S73" s="120"/>
      <c r="T73" s="120"/>
      <c r="U73" s="120"/>
      <c r="V73" s="120"/>
      <c r="W73" s="120"/>
      <c r="X73" s="120"/>
      <c r="Y73" s="120"/>
      <c r="Z73" s="120"/>
      <c r="AA73" s="120"/>
      <c r="AB73" s="120"/>
      <c r="AD73" s="120"/>
      <c r="AE73" s="120"/>
      <c r="AF73" s="118"/>
      <c r="AG73" s="177"/>
      <c r="AH73" s="177"/>
      <c r="AI73" s="177"/>
      <c r="AJ73" s="177"/>
      <c r="AK73" s="177"/>
      <c r="AL73" s="177"/>
      <c r="AM73" s="177"/>
      <c r="AO73" s="118"/>
      <c r="AP73" s="118"/>
      <c r="AQ73" s="118"/>
      <c r="AR73" s="118"/>
      <c r="AS73" s="118"/>
      <c r="AT73" s="118"/>
      <c r="AU73" s="118"/>
      <c r="AV73" s="118"/>
      <c r="AW73" s="118"/>
      <c r="AX73" s="118"/>
      <c r="AY73" s="118"/>
      <c r="AZ73" s="118"/>
      <c r="BA73" s="118"/>
      <c r="BB73" s="118"/>
      <c r="BC73" s="118"/>
      <c r="BE73" s="118"/>
      <c r="BF73" s="118"/>
      <c r="BG73" s="118"/>
      <c r="BH73" s="118"/>
      <c r="BI73" s="118"/>
      <c r="BJ73" s="118"/>
      <c r="BK73" s="118"/>
      <c r="BL73" s="118"/>
      <c r="BM73" s="118"/>
      <c r="BN73" s="118"/>
      <c r="BQ73" s="119"/>
    </row>
    <row r="74" spans="2:69" ht="12">
      <c r="B74" s="118"/>
      <c r="C74" s="118"/>
      <c r="D74" s="118"/>
      <c r="E74" s="118"/>
      <c r="F74" s="118"/>
      <c r="G74" s="118"/>
      <c r="H74" s="118"/>
      <c r="I74" s="120"/>
      <c r="J74" s="120"/>
      <c r="K74" s="120"/>
      <c r="L74" s="120"/>
      <c r="M74" s="120"/>
      <c r="N74" s="120"/>
      <c r="O74" s="120"/>
      <c r="P74" s="120"/>
      <c r="Q74" s="120"/>
      <c r="R74" s="120"/>
      <c r="S74" s="120"/>
      <c r="T74" s="120"/>
      <c r="U74" s="120"/>
      <c r="V74" s="120"/>
      <c r="W74" s="120"/>
      <c r="X74" s="120"/>
      <c r="Y74" s="120"/>
      <c r="Z74" s="120"/>
      <c r="AA74" s="120"/>
      <c r="AB74" s="120"/>
      <c r="AD74" s="120"/>
      <c r="AE74" s="120"/>
      <c r="AF74" s="118"/>
      <c r="AG74" s="177"/>
      <c r="AH74" s="177"/>
      <c r="AI74" s="177"/>
      <c r="AJ74" s="177"/>
      <c r="AK74" s="177"/>
      <c r="AL74" s="177"/>
      <c r="AM74" s="177"/>
      <c r="AO74" s="118"/>
      <c r="AP74" s="118"/>
      <c r="AQ74" s="118"/>
      <c r="AR74" s="118"/>
      <c r="AS74" s="118"/>
      <c r="AT74" s="118"/>
      <c r="AU74" s="118"/>
      <c r="AV74" s="118"/>
      <c r="AW74" s="118"/>
      <c r="AX74" s="118"/>
      <c r="AY74" s="118"/>
      <c r="AZ74" s="118"/>
      <c r="BA74" s="118"/>
      <c r="BB74" s="118"/>
      <c r="BC74" s="118"/>
      <c r="BE74" s="118"/>
      <c r="BF74" s="118"/>
      <c r="BG74" s="118"/>
      <c r="BH74" s="118"/>
      <c r="BI74" s="118"/>
      <c r="BJ74" s="118"/>
      <c r="BK74" s="118"/>
      <c r="BL74" s="118"/>
      <c r="BM74" s="118"/>
      <c r="BN74" s="118"/>
      <c r="BQ74" s="119"/>
    </row>
    <row r="75" spans="2:69" ht="12">
      <c r="B75" s="118"/>
      <c r="C75" s="118"/>
      <c r="D75" s="118"/>
      <c r="E75" s="118"/>
      <c r="F75" s="118"/>
      <c r="G75" s="118"/>
      <c r="H75" s="118"/>
      <c r="I75" s="120"/>
      <c r="J75" s="120"/>
      <c r="K75" s="120"/>
      <c r="L75" s="120"/>
      <c r="M75" s="120"/>
      <c r="N75" s="120"/>
      <c r="O75" s="120"/>
      <c r="P75" s="120"/>
      <c r="Q75" s="120"/>
      <c r="R75" s="120"/>
      <c r="S75" s="120"/>
      <c r="T75" s="120"/>
      <c r="U75" s="120"/>
      <c r="V75" s="120"/>
      <c r="W75" s="120"/>
      <c r="X75" s="120"/>
      <c r="Y75" s="120"/>
      <c r="Z75" s="120"/>
      <c r="AA75" s="120"/>
      <c r="AB75" s="120"/>
      <c r="AD75" s="120"/>
      <c r="AE75" s="120"/>
      <c r="AF75" s="118"/>
      <c r="AG75" s="177"/>
      <c r="AH75" s="177"/>
      <c r="AI75" s="177"/>
      <c r="AJ75" s="177"/>
      <c r="AK75" s="177"/>
      <c r="AL75" s="177"/>
      <c r="AM75" s="177"/>
      <c r="AO75" s="118"/>
      <c r="AP75" s="118"/>
      <c r="AQ75" s="118"/>
      <c r="AR75" s="118"/>
      <c r="AS75" s="118"/>
      <c r="AT75" s="118"/>
      <c r="AU75" s="118"/>
      <c r="AV75" s="118"/>
      <c r="AW75" s="118"/>
      <c r="AX75" s="118"/>
      <c r="AY75" s="118"/>
      <c r="AZ75" s="118"/>
      <c r="BA75" s="118"/>
      <c r="BB75" s="118"/>
      <c r="BC75" s="118"/>
      <c r="BE75" s="118"/>
      <c r="BF75" s="118"/>
      <c r="BG75" s="118"/>
      <c r="BH75" s="118"/>
      <c r="BI75" s="118"/>
      <c r="BJ75" s="118"/>
      <c r="BK75" s="118"/>
      <c r="BL75" s="118"/>
      <c r="BM75" s="118"/>
      <c r="BN75" s="118"/>
      <c r="BQ75" s="119"/>
    </row>
    <row r="76" spans="2:69" ht="12">
      <c r="B76" s="118"/>
      <c r="C76" s="118"/>
      <c r="D76" s="118"/>
      <c r="E76" s="118"/>
      <c r="F76" s="118"/>
      <c r="G76" s="118"/>
      <c r="H76" s="118"/>
      <c r="I76" s="120"/>
      <c r="J76" s="120"/>
      <c r="K76" s="120"/>
      <c r="L76" s="120"/>
      <c r="M76" s="120"/>
      <c r="N76" s="120"/>
      <c r="O76" s="120"/>
      <c r="P76" s="120"/>
      <c r="Q76" s="120"/>
      <c r="R76" s="120"/>
      <c r="S76" s="120"/>
      <c r="T76" s="120"/>
      <c r="U76" s="120"/>
      <c r="V76" s="120"/>
      <c r="W76" s="120"/>
      <c r="X76" s="120"/>
      <c r="Y76" s="120"/>
      <c r="Z76" s="120"/>
      <c r="AA76" s="120"/>
      <c r="AB76" s="120"/>
      <c r="AD76" s="120"/>
      <c r="AE76" s="120"/>
      <c r="AF76" s="118"/>
      <c r="AG76" s="177"/>
      <c r="AH76" s="177"/>
      <c r="AI76" s="177"/>
      <c r="AJ76" s="177"/>
      <c r="AK76" s="177"/>
      <c r="AL76" s="177"/>
      <c r="AM76" s="177"/>
      <c r="AO76" s="118"/>
      <c r="AP76" s="118"/>
      <c r="AQ76" s="118"/>
      <c r="AR76" s="118"/>
      <c r="AS76" s="118"/>
      <c r="AT76" s="118"/>
      <c r="AU76" s="118"/>
      <c r="AV76" s="118"/>
      <c r="AW76" s="118"/>
      <c r="AX76" s="118"/>
      <c r="AY76" s="118"/>
      <c r="AZ76" s="118"/>
      <c r="BA76" s="118"/>
      <c r="BB76" s="118"/>
      <c r="BC76" s="118"/>
      <c r="BE76" s="118"/>
      <c r="BF76" s="118"/>
      <c r="BG76" s="118"/>
      <c r="BH76" s="118"/>
      <c r="BI76" s="118"/>
      <c r="BJ76" s="118"/>
      <c r="BK76" s="118"/>
      <c r="BL76" s="118"/>
      <c r="BM76" s="118"/>
      <c r="BN76" s="118"/>
      <c r="BQ76" s="119"/>
    </row>
    <row r="77" spans="2:69" ht="12">
      <c r="B77" s="118"/>
      <c r="C77" s="118"/>
      <c r="D77" s="118"/>
      <c r="E77" s="118"/>
      <c r="F77" s="118"/>
      <c r="G77" s="118"/>
      <c r="H77" s="118"/>
      <c r="I77" s="120"/>
      <c r="J77" s="120"/>
      <c r="K77" s="120"/>
      <c r="L77" s="120"/>
      <c r="M77" s="120"/>
      <c r="N77" s="120"/>
      <c r="O77" s="120"/>
      <c r="P77" s="120"/>
      <c r="Q77" s="120"/>
      <c r="R77" s="120"/>
      <c r="S77" s="120"/>
      <c r="T77" s="120"/>
      <c r="U77" s="120"/>
      <c r="V77" s="120"/>
      <c r="W77" s="120"/>
      <c r="X77" s="120"/>
      <c r="Y77" s="120"/>
      <c r="Z77" s="120"/>
      <c r="AA77" s="120"/>
      <c r="AB77" s="120"/>
      <c r="AD77" s="120"/>
      <c r="AE77" s="120"/>
      <c r="AF77" s="118"/>
      <c r="AG77" s="177"/>
      <c r="AH77" s="177"/>
      <c r="AI77" s="177"/>
      <c r="AJ77" s="177"/>
      <c r="AK77" s="177"/>
      <c r="AL77" s="177"/>
      <c r="AM77" s="177"/>
      <c r="AO77" s="118"/>
      <c r="AP77" s="118"/>
      <c r="AQ77" s="118"/>
      <c r="AR77" s="118"/>
      <c r="AS77" s="118"/>
      <c r="AT77" s="118"/>
      <c r="AU77" s="118"/>
      <c r="AV77" s="118"/>
      <c r="AW77" s="118"/>
      <c r="AX77" s="118"/>
      <c r="AY77" s="118"/>
      <c r="AZ77" s="118"/>
      <c r="BA77" s="118"/>
      <c r="BB77" s="118"/>
      <c r="BC77" s="118"/>
      <c r="BE77" s="118"/>
      <c r="BF77" s="118"/>
      <c r="BG77" s="118"/>
      <c r="BH77" s="118"/>
      <c r="BI77" s="118"/>
      <c r="BJ77" s="118"/>
      <c r="BK77" s="118"/>
      <c r="BL77" s="118"/>
      <c r="BM77" s="118"/>
      <c r="BN77" s="118"/>
      <c r="BQ77" s="119"/>
    </row>
    <row r="78" spans="2:69" ht="12">
      <c r="B78" s="118"/>
      <c r="C78" s="118"/>
      <c r="D78" s="118"/>
      <c r="E78" s="118"/>
      <c r="F78" s="118"/>
      <c r="G78" s="118"/>
      <c r="H78" s="118"/>
      <c r="I78" s="120"/>
      <c r="J78" s="120"/>
      <c r="K78" s="120"/>
      <c r="L78" s="120"/>
      <c r="M78" s="120"/>
      <c r="N78" s="120"/>
      <c r="O78" s="120"/>
      <c r="P78" s="120"/>
      <c r="Q78" s="120"/>
      <c r="R78" s="120"/>
      <c r="S78" s="120"/>
      <c r="T78" s="120"/>
      <c r="U78" s="120"/>
      <c r="V78" s="120"/>
      <c r="W78" s="120"/>
      <c r="X78" s="120"/>
      <c r="Y78" s="120"/>
      <c r="Z78" s="120"/>
      <c r="AA78" s="120"/>
      <c r="AB78" s="120"/>
      <c r="AD78" s="120"/>
      <c r="AE78" s="120"/>
      <c r="AF78" s="118"/>
      <c r="AG78" s="177"/>
      <c r="AH78" s="177"/>
      <c r="AI78" s="177"/>
      <c r="AJ78" s="177"/>
      <c r="AK78" s="177"/>
      <c r="AL78" s="177"/>
      <c r="AM78" s="177"/>
      <c r="AO78" s="118"/>
      <c r="AP78" s="118"/>
      <c r="AQ78" s="118"/>
      <c r="AR78" s="118"/>
      <c r="AS78" s="118"/>
      <c r="AT78" s="118"/>
      <c r="AU78" s="118"/>
      <c r="AV78" s="118"/>
      <c r="AW78" s="118"/>
      <c r="AX78" s="118"/>
      <c r="AY78" s="118"/>
      <c r="AZ78" s="118"/>
      <c r="BA78" s="118"/>
      <c r="BB78" s="118"/>
      <c r="BC78" s="118"/>
      <c r="BE78" s="118"/>
      <c r="BF78" s="118"/>
      <c r="BG78" s="118"/>
      <c r="BH78" s="118"/>
      <c r="BI78" s="118"/>
      <c r="BJ78" s="118"/>
      <c r="BK78" s="118"/>
      <c r="BL78" s="118"/>
      <c r="BM78" s="118"/>
      <c r="BN78" s="118"/>
      <c r="BQ78" s="119"/>
    </row>
    <row r="79" spans="2:69" ht="12">
      <c r="B79" s="118"/>
      <c r="C79" s="118"/>
      <c r="D79" s="118"/>
      <c r="E79" s="118"/>
      <c r="F79" s="118"/>
      <c r="G79" s="118"/>
      <c r="H79" s="118"/>
      <c r="I79" s="120"/>
      <c r="J79" s="120"/>
      <c r="K79" s="120"/>
      <c r="L79" s="120"/>
      <c r="M79" s="120"/>
      <c r="N79" s="120"/>
      <c r="O79" s="120"/>
      <c r="P79" s="120"/>
      <c r="Q79" s="120"/>
      <c r="R79" s="120"/>
      <c r="S79" s="120"/>
      <c r="T79" s="120"/>
      <c r="U79" s="120"/>
      <c r="V79" s="120"/>
      <c r="W79" s="120"/>
      <c r="X79" s="120"/>
      <c r="Y79" s="120"/>
      <c r="Z79" s="120"/>
      <c r="AA79" s="120"/>
      <c r="AB79" s="120"/>
      <c r="AD79" s="120"/>
      <c r="AE79" s="120"/>
      <c r="AF79" s="118"/>
      <c r="AG79" s="177"/>
      <c r="AH79" s="177"/>
      <c r="AI79" s="177"/>
      <c r="AJ79" s="177"/>
      <c r="AK79" s="177"/>
      <c r="AL79" s="177"/>
      <c r="AM79" s="177"/>
      <c r="AO79" s="118"/>
      <c r="AP79" s="118"/>
      <c r="AQ79" s="118"/>
      <c r="AR79" s="118"/>
      <c r="AS79" s="118"/>
      <c r="AT79" s="118"/>
      <c r="AU79" s="118"/>
      <c r="AV79" s="118"/>
      <c r="AW79" s="118"/>
      <c r="AX79" s="118"/>
      <c r="AY79" s="118"/>
      <c r="AZ79" s="118"/>
      <c r="BA79" s="118"/>
      <c r="BB79" s="118"/>
      <c r="BC79" s="118"/>
      <c r="BE79" s="118"/>
      <c r="BF79" s="118"/>
      <c r="BG79" s="118"/>
      <c r="BH79" s="118"/>
      <c r="BI79" s="118"/>
      <c r="BJ79" s="118"/>
      <c r="BK79" s="118"/>
      <c r="BL79" s="118"/>
      <c r="BM79" s="118"/>
      <c r="BN79" s="118"/>
      <c r="BQ79" s="119"/>
    </row>
    <row r="80" spans="2:69" ht="12">
      <c r="B80" s="118"/>
      <c r="C80" s="118"/>
      <c r="D80" s="118"/>
      <c r="E80" s="118"/>
      <c r="F80" s="118"/>
      <c r="G80" s="118"/>
      <c r="H80" s="118"/>
      <c r="I80" s="120"/>
      <c r="J80" s="120"/>
      <c r="K80" s="120"/>
      <c r="L80" s="120"/>
      <c r="M80" s="120"/>
      <c r="N80" s="120"/>
      <c r="O80" s="120"/>
      <c r="P80" s="120"/>
      <c r="Q80" s="120"/>
      <c r="R80" s="120"/>
      <c r="S80" s="120"/>
      <c r="T80" s="120"/>
      <c r="U80" s="120"/>
      <c r="V80" s="120"/>
      <c r="W80" s="120"/>
      <c r="X80" s="120"/>
      <c r="Y80" s="120"/>
      <c r="Z80" s="120"/>
      <c r="AA80" s="120"/>
      <c r="AB80" s="120"/>
      <c r="AD80" s="120"/>
      <c r="AE80" s="120"/>
      <c r="AF80" s="118"/>
      <c r="AG80" s="177"/>
      <c r="AH80" s="177"/>
      <c r="AI80" s="177"/>
      <c r="AJ80" s="177"/>
      <c r="AK80" s="177"/>
      <c r="AL80" s="177"/>
      <c r="AM80" s="177"/>
      <c r="AO80" s="118"/>
      <c r="AP80" s="118"/>
      <c r="AQ80" s="118"/>
      <c r="AR80" s="118"/>
      <c r="AS80" s="118"/>
      <c r="AT80" s="118"/>
      <c r="AU80" s="118"/>
      <c r="AV80" s="118"/>
      <c r="AW80" s="118"/>
      <c r="AX80" s="118"/>
      <c r="AY80" s="118"/>
      <c r="AZ80" s="118"/>
      <c r="BA80" s="118"/>
      <c r="BB80" s="118"/>
      <c r="BC80" s="118"/>
      <c r="BE80" s="118"/>
      <c r="BF80" s="118"/>
      <c r="BG80" s="118"/>
      <c r="BH80" s="118"/>
      <c r="BI80" s="118"/>
      <c r="BJ80" s="118"/>
      <c r="BK80" s="118"/>
      <c r="BL80" s="118"/>
      <c r="BM80" s="118"/>
      <c r="BN80" s="118"/>
      <c r="BQ80" s="119"/>
    </row>
    <row r="81" spans="2:69" ht="12">
      <c r="B81" s="118"/>
      <c r="C81" s="118"/>
      <c r="D81" s="118"/>
      <c r="E81" s="118"/>
      <c r="F81" s="118"/>
      <c r="G81" s="118"/>
      <c r="H81" s="118"/>
      <c r="I81" s="120"/>
      <c r="J81" s="120"/>
      <c r="K81" s="120"/>
      <c r="L81" s="120"/>
      <c r="M81" s="120"/>
      <c r="N81" s="120"/>
      <c r="O81" s="120"/>
      <c r="P81" s="120"/>
      <c r="Q81" s="120"/>
      <c r="R81" s="120"/>
      <c r="S81" s="120"/>
      <c r="T81" s="120"/>
      <c r="U81" s="120"/>
      <c r="V81" s="120"/>
      <c r="W81" s="120"/>
      <c r="X81" s="120"/>
      <c r="Y81" s="120"/>
      <c r="Z81" s="120"/>
      <c r="AA81" s="120"/>
      <c r="AB81" s="120"/>
      <c r="AD81" s="120"/>
      <c r="AE81" s="120"/>
      <c r="AF81" s="118"/>
      <c r="AG81" s="177"/>
      <c r="AH81" s="177"/>
      <c r="AI81" s="177"/>
      <c r="AJ81" s="177"/>
      <c r="AK81" s="177"/>
      <c r="AL81" s="177"/>
      <c r="AM81" s="177"/>
      <c r="AO81" s="118"/>
      <c r="AP81" s="118"/>
      <c r="AQ81" s="118"/>
      <c r="AR81" s="118"/>
      <c r="AS81" s="118"/>
      <c r="AT81" s="118"/>
      <c r="AU81" s="118"/>
      <c r="AV81" s="118"/>
      <c r="AW81" s="118"/>
      <c r="AX81" s="118"/>
      <c r="AY81" s="118"/>
      <c r="AZ81" s="118"/>
      <c r="BA81" s="118"/>
      <c r="BB81" s="118"/>
      <c r="BC81" s="118"/>
      <c r="BE81" s="118"/>
      <c r="BF81" s="118"/>
      <c r="BG81" s="118"/>
      <c r="BH81" s="118"/>
      <c r="BI81" s="118"/>
      <c r="BJ81" s="118"/>
      <c r="BK81" s="118"/>
      <c r="BL81" s="118"/>
      <c r="BM81" s="118"/>
      <c r="BN81" s="118"/>
      <c r="BQ81" s="119"/>
    </row>
    <row r="82" spans="2:69" ht="12">
      <c r="B82" s="118"/>
      <c r="C82" s="118"/>
      <c r="D82" s="118"/>
      <c r="E82" s="118"/>
      <c r="F82" s="118"/>
      <c r="G82" s="118"/>
      <c r="H82" s="118"/>
      <c r="I82" s="120"/>
      <c r="J82" s="120"/>
      <c r="K82" s="120"/>
      <c r="L82" s="120"/>
      <c r="M82" s="120"/>
      <c r="N82" s="120"/>
      <c r="O82" s="120"/>
      <c r="P82" s="120"/>
      <c r="Q82" s="120"/>
      <c r="R82" s="120"/>
      <c r="S82" s="120"/>
      <c r="T82" s="120"/>
      <c r="U82" s="120"/>
      <c r="V82" s="120"/>
      <c r="W82" s="120"/>
      <c r="X82" s="120"/>
      <c r="Y82" s="120"/>
      <c r="Z82" s="120"/>
      <c r="AA82" s="120"/>
      <c r="AB82" s="120"/>
      <c r="AD82" s="120"/>
      <c r="AE82" s="120"/>
      <c r="AF82" s="118"/>
      <c r="AG82" s="177"/>
      <c r="AH82" s="177"/>
      <c r="AI82" s="177"/>
      <c r="AJ82" s="177"/>
      <c r="AK82" s="177"/>
      <c r="AL82" s="177"/>
      <c r="AM82" s="177"/>
      <c r="AO82" s="118"/>
      <c r="AP82" s="118"/>
      <c r="AQ82" s="118"/>
      <c r="AR82" s="118"/>
      <c r="AS82" s="118"/>
      <c r="AT82" s="118"/>
      <c r="AU82" s="118"/>
      <c r="AV82" s="118"/>
      <c r="AW82" s="118"/>
      <c r="AX82" s="118"/>
      <c r="AY82" s="118"/>
      <c r="AZ82" s="118"/>
      <c r="BA82" s="118"/>
      <c r="BB82" s="118"/>
      <c r="BC82" s="118"/>
      <c r="BE82" s="118"/>
      <c r="BF82" s="118"/>
      <c r="BG82" s="118"/>
      <c r="BH82" s="118"/>
      <c r="BI82" s="118"/>
      <c r="BJ82" s="118"/>
      <c r="BK82" s="118"/>
      <c r="BL82" s="118"/>
      <c r="BM82" s="118"/>
      <c r="BN82" s="118"/>
      <c r="BQ82" s="119"/>
    </row>
    <row r="83" spans="2:69" ht="12">
      <c r="B83" s="118"/>
      <c r="C83" s="118"/>
      <c r="D83" s="118"/>
      <c r="E83" s="118"/>
      <c r="F83" s="118"/>
      <c r="G83" s="118"/>
      <c r="H83" s="118"/>
      <c r="I83" s="120"/>
      <c r="J83" s="120"/>
      <c r="K83" s="120"/>
      <c r="L83" s="120"/>
      <c r="M83" s="120"/>
      <c r="N83" s="120"/>
      <c r="O83" s="120"/>
      <c r="P83" s="120"/>
      <c r="Q83" s="120"/>
      <c r="R83" s="120"/>
      <c r="S83" s="120"/>
      <c r="T83" s="120"/>
      <c r="U83" s="120"/>
      <c r="V83" s="120"/>
      <c r="W83" s="120"/>
      <c r="X83" s="120"/>
      <c r="Y83" s="120"/>
      <c r="Z83" s="120"/>
      <c r="AA83" s="120"/>
      <c r="AB83" s="120"/>
      <c r="AD83" s="120"/>
      <c r="AE83" s="120"/>
      <c r="AF83" s="118"/>
      <c r="AG83" s="177"/>
      <c r="AH83" s="177"/>
      <c r="AI83" s="177"/>
      <c r="AJ83" s="177"/>
      <c r="AK83" s="177"/>
      <c r="AL83" s="177"/>
      <c r="AM83" s="177"/>
      <c r="AO83" s="118"/>
      <c r="AP83" s="118"/>
      <c r="AQ83" s="118"/>
      <c r="AR83" s="118"/>
      <c r="AS83" s="118"/>
      <c r="AT83" s="118"/>
      <c r="AU83" s="118"/>
      <c r="AV83" s="118"/>
      <c r="AW83" s="118"/>
      <c r="AX83" s="118"/>
      <c r="AY83" s="118"/>
      <c r="AZ83" s="118"/>
      <c r="BA83" s="118"/>
      <c r="BB83" s="118"/>
      <c r="BC83" s="118"/>
      <c r="BE83" s="118"/>
      <c r="BF83" s="118"/>
      <c r="BG83" s="118"/>
      <c r="BH83" s="118"/>
      <c r="BI83" s="118"/>
      <c r="BJ83" s="118"/>
      <c r="BK83" s="118"/>
      <c r="BL83" s="118"/>
      <c r="BM83" s="118"/>
      <c r="BN83" s="118"/>
      <c r="BQ83" s="119"/>
    </row>
    <row r="84" spans="2:69" ht="12">
      <c r="B84" s="118"/>
      <c r="C84" s="118"/>
      <c r="D84" s="118"/>
      <c r="E84" s="118"/>
      <c r="F84" s="118"/>
      <c r="G84" s="118"/>
      <c r="H84" s="118"/>
      <c r="I84" s="120"/>
      <c r="J84" s="120"/>
      <c r="K84" s="120"/>
      <c r="L84" s="120"/>
      <c r="M84" s="120"/>
      <c r="N84" s="120"/>
      <c r="O84" s="120"/>
      <c r="P84" s="120"/>
      <c r="Q84" s="120"/>
      <c r="R84" s="120"/>
      <c r="S84" s="120"/>
      <c r="T84" s="120"/>
      <c r="U84" s="120"/>
      <c r="V84" s="120"/>
      <c r="W84" s="120"/>
      <c r="X84" s="120"/>
      <c r="Y84" s="120"/>
      <c r="Z84" s="120"/>
      <c r="AA84" s="120"/>
      <c r="AB84" s="120"/>
      <c r="AD84" s="120"/>
      <c r="AE84" s="120"/>
      <c r="AF84" s="118"/>
      <c r="AG84" s="177"/>
      <c r="AH84" s="177"/>
      <c r="AI84" s="177"/>
      <c r="AJ84" s="177"/>
      <c r="AK84" s="177"/>
      <c r="AL84" s="177"/>
      <c r="AM84" s="177"/>
      <c r="AO84" s="118"/>
      <c r="AP84" s="118"/>
      <c r="AQ84" s="118"/>
      <c r="AR84" s="118"/>
      <c r="AS84" s="118"/>
      <c r="AT84" s="118"/>
      <c r="AU84" s="118"/>
      <c r="AV84" s="118"/>
      <c r="AW84" s="118"/>
      <c r="AX84" s="118"/>
      <c r="AY84" s="118"/>
      <c r="AZ84" s="118"/>
      <c r="BA84" s="118"/>
      <c r="BB84" s="118"/>
      <c r="BC84" s="118"/>
      <c r="BE84" s="118"/>
      <c r="BF84" s="118"/>
      <c r="BG84" s="118"/>
      <c r="BH84" s="118"/>
      <c r="BI84" s="118"/>
      <c r="BJ84" s="118"/>
      <c r="BK84" s="118"/>
      <c r="BL84" s="118"/>
      <c r="BM84" s="118"/>
      <c r="BN84" s="118"/>
      <c r="BQ84" s="119"/>
    </row>
    <row r="85" spans="2:69" ht="12">
      <c r="B85" s="118"/>
      <c r="C85" s="118"/>
      <c r="D85" s="118"/>
      <c r="E85" s="118"/>
      <c r="F85" s="118"/>
      <c r="G85" s="118"/>
      <c r="H85" s="118"/>
      <c r="I85" s="120"/>
      <c r="J85" s="120"/>
      <c r="K85" s="120"/>
      <c r="L85" s="120"/>
      <c r="M85" s="120"/>
      <c r="N85" s="120"/>
      <c r="O85" s="120"/>
      <c r="P85" s="120"/>
      <c r="Q85" s="120"/>
      <c r="R85" s="120"/>
      <c r="S85" s="120"/>
      <c r="T85" s="120"/>
      <c r="U85" s="120"/>
      <c r="V85" s="120"/>
      <c r="W85" s="120"/>
      <c r="X85" s="120"/>
      <c r="Y85" s="120"/>
      <c r="Z85" s="120"/>
      <c r="AA85" s="120"/>
      <c r="AB85" s="120"/>
      <c r="AD85" s="120"/>
      <c r="AE85" s="120"/>
      <c r="AF85" s="118"/>
      <c r="AG85" s="177"/>
      <c r="AH85" s="177"/>
      <c r="AI85" s="177"/>
      <c r="AJ85" s="177"/>
      <c r="AK85" s="177"/>
      <c r="AL85" s="177"/>
      <c r="AM85" s="177"/>
      <c r="AO85" s="118"/>
      <c r="AP85" s="118"/>
      <c r="AQ85" s="118"/>
      <c r="AR85" s="118"/>
      <c r="AS85" s="118"/>
      <c r="AT85" s="118"/>
      <c r="AU85" s="118"/>
      <c r="AV85" s="118"/>
      <c r="AW85" s="118"/>
      <c r="AX85" s="118"/>
      <c r="AY85" s="118"/>
      <c r="AZ85" s="118"/>
      <c r="BA85" s="118"/>
      <c r="BB85" s="118"/>
      <c r="BC85" s="118"/>
      <c r="BE85" s="118"/>
      <c r="BF85" s="118"/>
      <c r="BG85" s="118"/>
      <c r="BH85" s="118"/>
      <c r="BI85" s="118"/>
      <c r="BJ85" s="118"/>
      <c r="BK85" s="118"/>
      <c r="BL85" s="118"/>
      <c r="BM85" s="118"/>
      <c r="BN85" s="118"/>
      <c r="BQ85" s="119"/>
    </row>
    <row r="86" spans="2:69" ht="12">
      <c r="B86" s="118"/>
      <c r="C86" s="118"/>
      <c r="D86" s="118"/>
      <c r="E86" s="118"/>
      <c r="F86" s="118"/>
      <c r="G86" s="118"/>
      <c r="H86" s="118"/>
      <c r="I86" s="120"/>
      <c r="J86" s="120"/>
      <c r="K86" s="120"/>
      <c r="L86" s="120"/>
      <c r="M86" s="120"/>
      <c r="N86" s="120"/>
      <c r="O86" s="120"/>
      <c r="P86" s="120"/>
      <c r="Q86" s="120"/>
      <c r="R86" s="120"/>
      <c r="S86" s="120"/>
      <c r="T86" s="120"/>
      <c r="U86" s="120"/>
      <c r="V86" s="120"/>
      <c r="W86" s="120"/>
      <c r="X86" s="120"/>
      <c r="Y86" s="120"/>
      <c r="Z86" s="120"/>
      <c r="AA86" s="120"/>
      <c r="AB86" s="120"/>
      <c r="AD86" s="120"/>
      <c r="AE86" s="120"/>
      <c r="AF86" s="118"/>
      <c r="AG86" s="177"/>
      <c r="AH86" s="177"/>
      <c r="AI86" s="177"/>
      <c r="AJ86" s="177"/>
      <c r="AK86" s="177"/>
      <c r="AL86" s="177"/>
      <c r="AM86" s="177"/>
      <c r="AO86" s="118"/>
      <c r="AP86" s="118"/>
      <c r="AQ86" s="118"/>
      <c r="AR86" s="118"/>
      <c r="AS86" s="118"/>
      <c r="AT86" s="118"/>
      <c r="AU86" s="118"/>
      <c r="AV86" s="118"/>
      <c r="AW86" s="118"/>
      <c r="AX86" s="118"/>
      <c r="AY86" s="118"/>
      <c r="AZ86" s="118"/>
      <c r="BA86" s="118"/>
      <c r="BB86" s="118"/>
      <c r="BC86" s="118"/>
      <c r="BE86" s="118"/>
      <c r="BF86" s="118"/>
      <c r="BG86" s="118"/>
      <c r="BH86" s="118"/>
      <c r="BI86" s="118"/>
      <c r="BJ86" s="118"/>
      <c r="BK86" s="118"/>
      <c r="BL86" s="118"/>
      <c r="BM86" s="118"/>
      <c r="BN86" s="118"/>
      <c r="BQ86" s="119"/>
    </row>
    <row r="87" spans="2:69" ht="12">
      <c r="B87" s="118"/>
      <c r="C87" s="118"/>
      <c r="D87" s="118"/>
      <c r="E87" s="118"/>
      <c r="F87" s="118"/>
      <c r="G87" s="118"/>
      <c r="H87" s="118"/>
      <c r="I87" s="120"/>
      <c r="J87" s="120"/>
      <c r="K87" s="120"/>
      <c r="L87" s="120"/>
      <c r="M87" s="120"/>
      <c r="N87" s="120"/>
      <c r="O87" s="120"/>
      <c r="P87" s="120"/>
      <c r="Q87" s="120"/>
      <c r="R87" s="120"/>
      <c r="S87" s="120"/>
      <c r="T87" s="120"/>
      <c r="U87" s="120"/>
      <c r="V87" s="120"/>
      <c r="W87" s="120"/>
      <c r="X87" s="120"/>
      <c r="Y87" s="120"/>
      <c r="Z87" s="120"/>
      <c r="AA87" s="120"/>
      <c r="AB87" s="120"/>
      <c r="AD87" s="120"/>
      <c r="AE87" s="120"/>
      <c r="AF87" s="118"/>
      <c r="AG87" s="177"/>
      <c r="AH87" s="177"/>
      <c r="AI87" s="177"/>
      <c r="AJ87" s="177"/>
      <c r="AK87" s="177"/>
      <c r="AL87" s="177"/>
      <c r="AM87" s="177"/>
      <c r="AO87" s="118"/>
      <c r="AP87" s="118"/>
      <c r="AQ87" s="118"/>
      <c r="AR87" s="118"/>
      <c r="AS87" s="118"/>
      <c r="AT87" s="118"/>
      <c r="AU87" s="118"/>
      <c r="AV87" s="118"/>
      <c r="AW87" s="118"/>
      <c r="AX87" s="118"/>
      <c r="AY87" s="118"/>
      <c r="AZ87" s="118"/>
      <c r="BA87" s="118"/>
      <c r="BB87" s="118"/>
      <c r="BC87" s="118"/>
      <c r="BE87" s="118"/>
      <c r="BF87" s="118"/>
      <c r="BG87" s="118"/>
      <c r="BH87" s="118"/>
      <c r="BI87" s="118"/>
      <c r="BJ87" s="118"/>
      <c r="BK87" s="118"/>
      <c r="BL87" s="118"/>
      <c r="BM87" s="118"/>
      <c r="BN87" s="118"/>
      <c r="BQ87" s="119"/>
    </row>
    <row r="88" spans="2:69" ht="12">
      <c r="B88" s="118"/>
      <c r="C88" s="118"/>
      <c r="D88" s="118"/>
      <c r="E88" s="118"/>
      <c r="F88" s="118"/>
      <c r="G88" s="118"/>
      <c r="H88" s="118"/>
      <c r="I88" s="120"/>
      <c r="J88" s="120"/>
      <c r="K88" s="120"/>
      <c r="L88" s="120"/>
      <c r="M88" s="120"/>
      <c r="N88" s="120"/>
      <c r="O88" s="120"/>
      <c r="P88" s="120"/>
      <c r="Q88" s="120"/>
      <c r="R88" s="120"/>
      <c r="S88" s="120"/>
      <c r="T88" s="120"/>
      <c r="U88" s="120"/>
      <c r="V88" s="120"/>
      <c r="W88" s="120"/>
      <c r="X88" s="120"/>
      <c r="Y88" s="120"/>
      <c r="Z88" s="120"/>
      <c r="AA88" s="120"/>
      <c r="AB88" s="120"/>
      <c r="AD88" s="120"/>
      <c r="AE88" s="120"/>
      <c r="AF88" s="118"/>
      <c r="AG88" s="177"/>
      <c r="AH88" s="177"/>
      <c r="AI88" s="177"/>
      <c r="AJ88" s="177"/>
      <c r="AK88" s="177"/>
      <c r="AL88" s="177"/>
      <c r="AM88" s="177"/>
      <c r="AO88" s="118"/>
      <c r="AP88" s="118"/>
      <c r="AQ88" s="118"/>
      <c r="AR88" s="118"/>
      <c r="AS88" s="118"/>
      <c r="AT88" s="118"/>
      <c r="AU88" s="118"/>
      <c r="AV88" s="118"/>
      <c r="AW88" s="118"/>
      <c r="AX88" s="118"/>
      <c r="AY88" s="118"/>
      <c r="AZ88" s="118"/>
      <c r="BA88" s="118"/>
      <c r="BB88" s="118"/>
      <c r="BC88" s="118"/>
      <c r="BE88" s="118"/>
      <c r="BF88" s="118"/>
      <c r="BG88" s="118"/>
      <c r="BH88" s="118"/>
      <c r="BI88" s="118"/>
      <c r="BJ88" s="118"/>
      <c r="BK88" s="118"/>
      <c r="BL88" s="118"/>
      <c r="BM88" s="118"/>
      <c r="BN88" s="118"/>
      <c r="BQ88" s="119"/>
    </row>
    <row r="89" spans="2:69" ht="12">
      <c r="B89" s="118"/>
      <c r="C89" s="118"/>
      <c r="D89" s="118"/>
      <c r="E89" s="118"/>
      <c r="F89" s="118"/>
      <c r="G89" s="118"/>
      <c r="H89" s="118"/>
      <c r="I89" s="120"/>
      <c r="J89" s="120"/>
      <c r="K89" s="120"/>
      <c r="L89" s="120"/>
      <c r="M89" s="120"/>
      <c r="N89" s="120"/>
      <c r="O89" s="120"/>
      <c r="P89" s="120"/>
      <c r="Q89" s="120"/>
      <c r="R89" s="120"/>
      <c r="S89" s="120"/>
      <c r="T89" s="120"/>
      <c r="U89" s="120"/>
      <c r="V89" s="120"/>
      <c r="W89" s="120"/>
      <c r="X89" s="120"/>
      <c r="Y89" s="120"/>
      <c r="Z89" s="120"/>
      <c r="AA89" s="120"/>
      <c r="AB89" s="120"/>
      <c r="AD89" s="120"/>
      <c r="AE89" s="120"/>
      <c r="AF89" s="118"/>
      <c r="AG89" s="177"/>
      <c r="AH89" s="177"/>
      <c r="AI89" s="177"/>
      <c r="AJ89" s="177"/>
      <c r="AK89" s="177"/>
      <c r="AL89" s="177"/>
      <c r="AM89" s="177"/>
      <c r="AO89" s="118"/>
      <c r="AP89" s="118"/>
      <c r="AQ89" s="118"/>
      <c r="AR89" s="118"/>
      <c r="AS89" s="118"/>
      <c r="AT89" s="118"/>
      <c r="AU89" s="118"/>
      <c r="AV89" s="118"/>
      <c r="AW89" s="118"/>
      <c r="AX89" s="118"/>
      <c r="AY89" s="118"/>
      <c r="AZ89" s="118"/>
      <c r="BA89" s="118"/>
      <c r="BB89" s="118"/>
      <c r="BC89" s="118"/>
      <c r="BE89" s="118"/>
      <c r="BF89" s="118"/>
      <c r="BG89" s="118"/>
      <c r="BH89" s="118"/>
      <c r="BI89" s="118"/>
      <c r="BJ89" s="118"/>
      <c r="BK89" s="118"/>
      <c r="BL89" s="118"/>
      <c r="BM89" s="118"/>
      <c r="BN89" s="118"/>
      <c r="BQ89" s="119"/>
    </row>
    <row r="90" spans="2:69" ht="12">
      <c r="B90" s="118"/>
      <c r="C90" s="118"/>
      <c r="D90" s="118"/>
      <c r="E90" s="118"/>
      <c r="F90" s="118"/>
      <c r="G90" s="118"/>
      <c r="H90" s="118"/>
      <c r="I90" s="120"/>
      <c r="J90" s="120"/>
      <c r="K90" s="120"/>
      <c r="L90" s="120"/>
      <c r="M90" s="120"/>
      <c r="N90" s="120"/>
      <c r="O90" s="120"/>
      <c r="P90" s="120"/>
      <c r="Q90" s="120"/>
      <c r="R90" s="120"/>
      <c r="S90" s="120"/>
      <c r="T90" s="120"/>
      <c r="U90" s="120"/>
      <c r="V90" s="120"/>
      <c r="W90" s="120"/>
      <c r="X90" s="120"/>
      <c r="Y90" s="120"/>
      <c r="Z90" s="120"/>
      <c r="AA90" s="120"/>
      <c r="AB90" s="120"/>
      <c r="AD90" s="120"/>
      <c r="AE90" s="120"/>
      <c r="AF90" s="118"/>
      <c r="AG90" s="177"/>
      <c r="AH90" s="177"/>
      <c r="AI90" s="177"/>
      <c r="AJ90" s="177"/>
      <c r="AK90" s="177"/>
      <c r="AL90" s="177"/>
      <c r="AM90" s="177"/>
      <c r="AO90" s="118"/>
      <c r="AP90" s="118"/>
      <c r="AQ90" s="118"/>
      <c r="AR90" s="118"/>
      <c r="AS90" s="118"/>
      <c r="AT90" s="118"/>
      <c r="AU90" s="118"/>
      <c r="AV90" s="118"/>
      <c r="AW90" s="118"/>
      <c r="AX90" s="118"/>
      <c r="AY90" s="118"/>
      <c r="AZ90" s="118"/>
      <c r="BA90" s="118"/>
      <c r="BB90" s="118"/>
      <c r="BC90" s="118"/>
      <c r="BE90" s="118"/>
      <c r="BF90" s="118"/>
      <c r="BG90" s="118"/>
      <c r="BH90" s="118"/>
      <c r="BI90" s="118"/>
      <c r="BJ90" s="118"/>
      <c r="BK90" s="118"/>
      <c r="BL90" s="118"/>
      <c r="BM90" s="118"/>
      <c r="BN90" s="118"/>
      <c r="BQ90" s="119"/>
    </row>
    <row r="91" spans="2:69" ht="12">
      <c r="B91" s="118"/>
      <c r="C91" s="118"/>
      <c r="D91" s="118"/>
      <c r="E91" s="118"/>
      <c r="F91" s="118"/>
      <c r="G91" s="118"/>
      <c r="H91" s="118"/>
      <c r="I91" s="120"/>
      <c r="J91" s="120"/>
      <c r="K91" s="120"/>
      <c r="L91" s="120"/>
      <c r="M91" s="120"/>
      <c r="N91" s="120"/>
      <c r="O91" s="120"/>
      <c r="P91" s="120"/>
      <c r="Q91" s="120"/>
      <c r="R91" s="120"/>
      <c r="S91" s="120"/>
      <c r="T91" s="120"/>
      <c r="U91" s="120"/>
      <c r="V91" s="120"/>
      <c r="W91" s="120"/>
      <c r="X91" s="120"/>
      <c r="Y91" s="120"/>
      <c r="Z91" s="120"/>
      <c r="AA91" s="120"/>
      <c r="AB91" s="120"/>
      <c r="AD91" s="120"/>
      <c r="AE91" s="120"/>
      <c r="AF91" s="118"/>
      <c r="AG91" s="177"/>
      <c r="AH91" s="177"/>
      <c r="AI91" s="177"/>
      <c r="AJ91" s="177"/>
      <c r="AK91" s="177"/>
      <c r="AL91" s="177"/>
      <c r="AM91" s="177"/>
      <c r="AO91" s="118"/>
      <c r="AP91" s="118"/>
      <c r="AQ91" s="118"/>
      <c r="AR91" s="118"/>
      <c r="AS91" s="118"/>
      <c r="AT91" s="118"/>
      <c r="AU91" s="118"/>
      <c r="AV91" s="118"/>
      <c r="AW91" s="118"/>
      <c r="AX91" s="118"/>
      <c r="AY91" s="118"/>
      <c r="AZ91" s="118"/>
      <c r="BA91" s="118"/>
      <c r="BB91" s="118"/>
      <c r="BC91" s="118"/>
      <c r="BE91" s="118"/>
      <c r="BF91" s="118"/>
      <c r="BG91" s="118"/>
      <c r="BH91" s="118"/>
      <c r="BI91" s="118"/>
      <c r="BJ91" s="118"/>
      <c r="BK91" s="118"/>
      <c r="BL91" s="118"/>
      <c r="BM91" s="118"/>
      <c r="BN91" s="118"/>
      <c r="BQ91" s="119"/>
    </row>
    <row r="92" spans="2:69" ht="12">
      <c r="B92" s="118"/>
      <c r="C92" s="118"/>
      <c r="D92" s="118"/>
      <c r="E92" s="118"/>
      <c r="F92" s="118"/>
      <c r="G92" s="118"/>
      <c r="H92" s="118"/>
      <c r="I92" s="120"/>
      <c r="J92" s="120"/>
      <c r="K92" s="120"/>
      <c r="L92" s="120"/>
      <c r="M92" s="120"/>
      <c r="N92" s="120"/>
      <c r="O92" s="120"/>
      <c r="P92" s="120"/>
      <c r="Q92" s="120"/>
      <c r="R92" s="120"/>
      <c r="S92" s="120"/>
      <c r="T92" s="120"/>
      <c r="U92" s="120"/>
      <c r="V92" s="120"/>
      <c r="W92" s="120"/>
      <c r="X92" s="120"/>
      <c r="Y92" s="120"/>
      <c r="Z92" s="120"/>
      <c r="AA92" s="120"/>
      <c r="AB92" s="120"/>
      <c r="AD92" s="120"/>
      <c r="AE92" s="120"/>
      <c r="AF92" s="118"/>
      <c r="AG92" s="177"/>
      <c r="AH92" s="177"/>
      <c r="AI92" s="177"/>
      <c r="AJ92" s="177"/>
      <c r="AK92" s="177"/>
      <c r="AL92" s="177"/>
      <c r="AM92" s="177"/>
      <c r="AO92" s="118"/>
      <c r="AP92" s="118"/>
      <c r="AQ92" s="118"/>
      <c r="AR92" s="118"/>
      <c r="AS92" s="118"/>
      <c r="AT92" s="118"/>
      <c r="AU92" s="118"/>
      <c r="AV92" s="118"/>
      <c r="AW92" s="118"/>
      <c r="AX92" s="118"/>
      <c r="AY92" s="118"/>
      <c r="AZ92" s="118"/>
      <c r="BA92" s="118"/>
      <c r="BB92" s="118"/>
      <c r="BC92" s="118"/>
      <c r="BE92" s="118"/>
      <c r="BF92" s="118"/>
      <c r="BG92" s="118"/>
      <c r="BH92" s="118"/>
      <c r="BI92" s="118"/>
      <c r="BJ92" s="118"/>
      <c r="BK92" s="118"/>
      <c r="BL92" s="118"/>
      <c r="BM92" s="118"/>
      <c r="BN92" s="118"/>
      <c r="BQ92" s="119"/>
    </row>
    <row r="93" spans="2:69" ht="12">
      <c r="B93" s="118"/>
      <c r="C93" s="118"/>
      <c r="D93" s="118"/>
      <c r="E93" s="118"/>
      <c r="F93" s="118"/>
      <c r="G93" s="118"/>
      <c r="H93" s="118"/>
      <c r="I93" s="120"/>
      <c r="J93" s="120"/>
      <c r="K93" s="120"/>
      <c r="L93" s="120"/>
      <c r="M93" s="120"/>
      <c r="N93" s="120"/>
      <c r="O93" s="120"/>
      <c r="P93" s="120"/>
      <c r="Q93" s="120"/>
      <c r="R93" s="120"/>
      <c r="S93" s="120"/>
      <c r="T93" s="120"/>
      <c r="U93" s="120"/>
      <c r="V93" s="120"/>
      <c r="W93" s="120"/>
      <c r="X93" s="120"/>
      <c r="Y93" s="120"/>
      <c r="Z93" s="120"/>
      <c r="AA93" s="120"/>
      <c r="AB93" s="120"/>
      <c r="AD93" s="120"/>
      <c r="AE93" s="120"/>
      <c r="AF93" s="118"/>
      <c r="AG93" s="177"/>
      <c r="AH93" s="177"/>
      <c r="AI93" s="177"/>
      <c r="AJ93" s="177"/>
      <c r="AK93" s="177"/>
      <c r="AL93" s="177"/>
      <c r="AM93" s="177"/>
      <c r="AO93" s="118"/>
      <c r="AP93" s="118"/>
      <c r="AQ93" s="118"/>
      <c r="AR93" s="118"/>
      <c r="AS93" s="118"/>
      <c r="AT93" s="118"/>
      <c r="AU93" s="118"/>
      <c r="AV93" s="118"/>
      <c r="AW93" s="118"/>
      <c r="AX93" s="118"/>
      <c r="AY93" s="118"/>
      <c r="AZ93" s="118"/>
      <c r="BA93" s="118"/>
      <c r="BB93" s="118"/>
      <c r="BC93" s="118"/>
      <c r="BE93" s="118"/>
      <c r="BF93" s="118"/>
      <c r="BG93" s="118"/>
      <c r="BH93" s="118"/>
      <c r="BI93" s="118"/>
      <c r="BJ93" s="118"/>
      <c r="BK93" s="118"/>
      <c r="BL93" s="118"/>
      <c r="BM93" s="118"/>
      <c r="BN93" s="118"/>
      <c r="BQ93" s="119"/>
    </row>
    <row r="94" spans="2:69" ht="12">
      <c r="B94" s="118"/>
      <c r="C94" s="118"/>
      <c r="D94" s="118"/>
      <c r="E94" s="118"/>
      <c r="F94" s="118"/>
      <c r="G94" s="118"/>
      <c r="H94" s="118"/>
      <c r="I94" s="120"/>
      <c r="J94" s="120"/>
      <c r="K94" s="120"/>
      <c r="L94" s="120"/>
      <c r="M94" s="120"/>
      <c r="N94" s="120"/>
      <c r="O94" s="120"/>
      <c r="P94" s="120"/>
      <c r="Q94" s="120"/>
      <c r="R94" s="120"/>
      <c r="S94" s="120"/>
      <c r="T94" s="120"/>
      <c r="U94" s="120"/>
      <c r="V94" s="120"/>
      <c r="W94" s="120"/>
      <c r="X94" s="120"/>
      <c r="Y94" s="120"/>
      <c r="Z94" s="120"/>
      <c r="AA94" s="120"/>
      <c r="AB94" s="120"/>
      <c r="AD94" s="120"/>
      <c r="AE94" s="120"/>
      <c r="AF94" s="118"/>
      <c r="AG94" s="177"/>
      <c r="AH94" s="177"/>
      <c r="AI94" s="177"/>
      <c r="AJ94" s="177"/>
      <c r="AK94" s="177"/>
      <c r="AL94" s="177"/>
      <c r="AM94" s="177"/>
      <c r="AO94" s="118"/>
      <c r="AP94" s="118"/>
      <c r="AQ94" s="118"/>
      <c r="AR94" s="118"/>
      <c r="AS94" s="118"/>
      <c r="AT94" s="118"/>
      <c r="AU94" s="118"/>
      <c r="AV94" s="118"/>
      <c r="AW94" s="118"/>
      <c r="AX94" s="118"/>
      <c r="AY94" s="118"/>
      <c r="AZ94" s="118"/>
      <c r="BA94" s="118"/>
      <c r="BB94" s="118"/>
      <c r="BC94" s="118"/>
      <c r="BE94" s="118"/>
      <c r="BF94" s="118"/>
      <c r="BG94" s="118"/>
      <c r="BH94" s="118"/>
      <c r="BI94" s="118"/>
      <c r="BJ94" s="118"/>
      <c r="BK94" s="118"/>
      <c r="BL94" s="118"/>
      <c r="BM94" s="118"/>
      <c r="BN94" s="118"/>
      <c r="BQ94" s="119"/>
    </row>
    <row r="95" spans="2:69" ht="12">
      <c r="B95" s="118"/>
      <c r="C95" s="118"/>
      <c r="D95" s="118"/>
      <c r="E95" s="118"/>
      <c r="F95" s="118"/>
      <c r="G95" s="118"/>
      <c r="H95" s="118"/>
      <c r="I95" s="120"/>
      <c r="J95" s="120"/>
      <c r="K95" s="120"/>
      <c r="L95" s="120"/>
      <c r="M95" s="120"/>
      <c r="N95" s="120"/>
      <c r="O95" s="120"/>
      <c r="P95" s="120"/>
      <c r="Q95" s="120"/>
      <c r="R95" s="120"/>
      <c r="S95" s="120"/>
      <c r="T95" s="120"/>
      <c r="U95" s="120"/>
      <c r="V95" s="120"/>
      <c r="W95" s="120"/>
      <c r="X95" s="120"/>
      <c r="Y95" s="120"/>
      <c r="Z95" s="120"/>
      <c r="AA95" s="120"/>
      <c r="AB95" s="120"/>
      <c r="AD95" s="120"/>
      <c r="AE95" s="120"/>
      <c r="AF95" s="118"/>
      <c r="AG95" s="177"/>
      <c r="AH95" s="177"/>
      <c r="AI95" s="177"/>
      <c r="AJ95" s="177"/>
      <c r="AK95" s="177"/>
      <c r="AL95" s="177"/>
      <c r="AM95" s="177"/>
      <c r="AO95" s="118"/>
      <c r="AP95" s="118"/>
      <c r="AQ95" s="118"/>
      <c r="AR95" s="118"/>
      <c r="AS95" s="118"/>
      <c r="AT95" s="118"/>
      <c r="AU95" s="118"/>
      <c r="AV95" s="118"/>
      <c r="AW95" s="118"/>
      <c r="AX95" s="118"/>
      <c r="AY95" s="118"/>
      <c r="AZ95" s="118"/>
      <c r="BA95" s="118"/>
      <c r="BB95" s="118"/>
      <c r="BC95" s="118"/>
      <c r="BE95" s="118"/>
      <c r="BF95" s="118"/>
      <c r="BG95" s="118"/>
      <c r="BH95" s="118"/>
      <c r="BI95" s="118"/>
      <c r="BJ95" s="118"/>
      <c r="BK95" s="118"/>
      <c r="BL95" s="118"/>
      <c r="BM95" s="118"/>
      <c r="BN95" s="118"/>
      <c r="BQ95" s="119"/>
    </row>
    <row r="96" spans="2:69" ht="12">
      <c r="B96" s="118"/>
      <c r="C96" s="118"/>
      <c r="D96" s="118"/>
      <c r="E96" s="118"/>
      <c r="F96" s="118"/>
      <c r="G96" s="118"/>
      <c r="H96" s="118"/>
      <c r="I96" s="120"/>
      <c r="J96" s="120"/>
      <c r="K96" s="120"/>
      <c r="L96" s="120"/>
      <c r="M96" s="120"/>
      <c r="N96" s="120"/>
      <c r="O96" s="120"/>
      <c r="P96" s="120"/>
      <c r="Q96" s="120"/>
      <c r="R96" s="120"/>
      <c r="S96" s="120"/>
      <c r="T96" s="120"/>
      <c r="U96" s="120"/>
      <c r="V96" s="120"/>
      <c r="W96" s="120"/>
      <c r="X96" s="120"/>
      <c r="Y96" s="120"/>
      <c r="Z96" s="120"/>
      <c r="AA96" s="120"/>
      <c r="AB96" s="120"/>
      <c r="AD96" s="120"/>
      <c r="AE96" s="120"/>
      <c r="AF96" s="118"/>
      <c r="AG96" s="177"/>
      <c r="AH96" s="177"/>
      <c r="AI96" s="177"/>
      <c r="AJ96" s="177"/>
      <c r="AK96" s="177"/>
      <c r="AL96" s="177"/>
      <c r="AM96" s="177"/>
      <c r="AO96" s="118"/>
      <c r="AP96" s="118"/>
      <c r="AQ96" s="118"/>
      <c r="AR96" s="118"/>
      <c r="AS96" s="118"/>
      <c r="AT96" s="118"/>
      <c r="AU96" s="118"/>
      <c r="AV96" s="118"/>
      <c r="AW96" s="118"/>
      <c r="AX96" s="118"/>
      <c r="AY96" s="118"/>
      <c r="AZ96" s="118"/>
      <c r="BA96" s="118"/>
      <c r="BB96" s="118"/>
      <c r="BC96" s="118"/>
      <c r="BE96" s="118"/>
      <c r="BF96" s="118"/>
      <c r="BG96" s="118"/>
      <c r="BH96" s="118"/>
      <c r="BI96" s="118"/>
      <c r="BJ96" s="118"/>
      <c r="BK96" s="118"/>
      <c r="BL96" s="118"/>
      <c r="BM96" s="118"/>
      <c r="BN96" s="118"/>
      <c r="BQ96" s="119"/>
    </row>
    <row r="97" spans="2:69" ht="12">
      <c r="B97" s="118"/>
      <c r="C97" s="118"/>
      <c r="D97" s="118"/>
      <c r="E97" s="118"/>
      <c r="F97" s="118"/>
      <c r="G97" s="118"/>
      <c r="H97" s="118"/>
      <c r="I97" s="120"/>
      <c r="J97" s="120"/>
      <c r="K97" s="120"/>
      <c r="L97" s="120"/>
      <c r="M97" s="120"/>
      <c r="N97" s="120"/>
      <c r="O97" s="120"/>
      <c r="P97" s="120"/>
      <c r="Q97" s="120"/>
      <c r="R97" s="120"/>
      <c r="S97" s="120"/>
      <c r="T97" s="120"/>
      <c r="U97" s="120"/>
      <c r="V97" s="120"/>
      <c r="W97" s="120"/>
      <c r="X97" s="120"/>
      <c r="Y97" s="120"/>
      <c r="Z97" s="120"/>
      <c r="AA97" s="120"/>
      <c r="AB97" s="120"/>
      <c r="AD97" s="120"/>
      <c r="AE97" s="120"/>
      <c r="AF97" s="118"/>
      <c r="AG97" s="177"/>
      <c r="AH97" s="177"/>
      <c r="AI97" s="177"/>
      <c r="AJ97" s="177"/>
      <c r="AK97" s="177"/>
      <c r="AL97" s="177"/>
      <c r="AM97" s="177"/>
      <c r="AO97" s="118"/>
      <c r="AP97" s="118"/>
      <c r="AQ97" s="118"/>
      <c r="AR97" s="118"/>
      <c r="AS97" s="118"/>
      <c r="AT97" s="118"/>
      <c r="AU97" s="118"/>
      <c r="AV97" s="118"/>
      <c r="AW97" s="118"/>
      <c r="AX97" s="118"/>
      <c r="AY97" s="118"/>
      <c r="AZ97" s="118"/>
      <c r="BA97" s="118"/>
      <c r="BB97" s="118"/>
      <c r="BC97" s="118"/>
      <c r="BE97" s="118"/>
      <c r="BF97" s="118"/>
      <c r="BG97" s="118"/>
      <c r="BH97" s="118"/>
      <c r="BI97" s="118"/>
      <c r="BJ97" s="118"/>
      <c r="BK97" s="118"/>
      <c r="BL97" s="118"/>
      <c r="BM97" s="118"/>
      <c r="BN97" s="118"/>
      <c r="BQ97" s="119"/>
    </row>
    <row r="98" spans="2:69" ht="12">
      <c r="B98" s="118"/>
      <c r="C98" s="118"/>
      <c r="D98" s="118"/>
      <c r="E98" s="118"/>
      <c r="F98" s="118"/>
      <c r="G98" s="118"/>
      <c r="H98" s="118"/>
      <c r="I98" s="120"/>
      <c r="J98" s="120"/>
      <c r="K98" s="120"/>
      <c r="L98" s="120"/>
      <c r="M98" s="120"/>
      <c r="N98" s="120"/>
      <c r="O98" s="120"/>
      <c r="P98" s="120"/>
      <c r="Q98" s="120"/>
      <c r="R98" s="120"/>
      <c r="S98" s="120"/>
      <c r="T98" s="120"/>
      <c r="U98" s="120"/>
      <c r="V98" s="120"/>
      <c r="W98" s="120"/>
      <c r="X98" s="120"/>
      <c r="Y98" s="120"/>
      <c r="Z98" s="120"/>
      <c r="AA98" s="120"/>
      <c r="AB98" s="120"/>
      <c r="AD98" s="120"/>
      <c r="AE98" s="120"/>
      <c r="AF98" s="118"/>
      <c r="AG98" s="177"/>
      <c r="AH98" s="177"/>
      <c r="AI98" s="177"/>
      <c r="AJ98" s="177"/>
      <c r="AK98" s="177"/>
      <c r="AL98" s="177"/>
      <c r="AM98" s="177"/>
      <c r="AO98" s="118"/>
      <c r="AP98" s="118"/>
      <c r="AQ98" s="118"/>
      <c r="AR98" s="118"/>
      <c r="AS98" s="118"/>
      <c r="AT98" s="118"/>
      <c r="AU98" s="118"/>
      <c r="AV98" s="118"/>
      <c r="AW98" s="118"/>
      <c r="AX98" s="118"/>
      <c r="AY98" s="118"/>
      <c r="AZ98" s="118"/>
      <c r="BA98" s="118"/>
      <c r="BB98" s="118"/>
      <c r="BC98" s="118"/>
      <c r="BE98" s="118"/>
      <c r="BF98" s="118"/>
      <c r="BG98" s="118"/>
      <c r="BH98" s="118"/>
      <c r="BI98" s="118"/>
      <c r="BJ98" s="118"/>
      <c r="BK98" s="118"/>
      <c r="BL98" s="118"/>
      <c r="BM98" s="118"/>
      <c r="BN98" s="118"/>
      <c r="BQ98" s="119"/>
    </row>
    <row r="99" spans="2:69" ht="12">
      <c r="B99" s="118"/>
      <c r="C99" s="118"/>
      <c r="D99" s="118"/>
      <c r="E99" s="118"/>
      <c r="F99" s="118"/>
      <c r="G99" s="118"/>
      <c r="H99" s="118"/>
      <c r="I99" s="120"/>
      <c r="J99" s="120"/>
      <c r="K99" s="120"/>
      <c r="L99" s="120"/>
      <c r="M99" s="120"/>
      <c r="N99" s="120"/>
      <c r="O99" s="120"/>
      <c r="P99" s="120"/>
      <c r="Q99" s="120"/>
      <c r="R99" s="120"/>
      <c r="S99" s="120"/>
      <c r="T99" s="120"/>
      <c r="U99" s="120"/>
      <c r="V99" s="120"/>
      <c r="W99" s="120"/>
      <c r="X99" s="120"/>
      <c r="Y99" s="120"/>
      <c r="Z99" s="120"/>
      <c r="AA99" s="120"/>
      <c r="AB99" s="120"/>
      <c r="AD99" s="120"/>
      <c r="AE99" s="120"/>
      <c r="AF99" s="118"/>
      <c r="AG99" s="177"/>
      <c r="AH99" s="177"/>
      <c r="AI99" s="177"/>
      <c r="AJ99" s="177"/>
      <c r="AK99" s="177"/>
      <c r="AL99" s="177"/>
      <c r="AM99" s="177"/>
      <c r="AO99" s="118"/>
      <c r="AP99" s="118"/>
      <c r="AQ99" s="118"/>
      <c r="AR99" s="118"/>
      <c r="AS99" s="118"/>
      <c r="AT99" s="118"/>
      <c r="AU99" s="118"/>
      <c r="AV99" s="118"/>
      <c r="AW99" s="118"/>
      <c r="AX99" s="118"/>
      <c r="AY99" s="118"/>
      <c r="AZ99" s="118"/>
      <c r="BA99" s="118"/>
      <c r="BB99" s="118"/>
      <c r="BC99" s="118"/>
      <c r="BE99" s="118"/>
      <c r="BF99" s="118"/>
      <c r="BG99" s="118"/>
      <c r="BH99" s="118"/>
      <c r="BI99" s="118"/>
      <c r="BJ99" s="118"/>
      <c r="BK99" s="118"/>
      <c r="BL99" s="118"/>
      <c r="BM99" s="118"/>
      <c r="BN99" s="118"/>
      <c r="BQ99" s="119"/>
    </row>
    <row r="100" spans="2:69" ht="12">
      <c r="B100" s="118"/>
      <c r="C100" s="118"/>
      <c r="D100" s="118"/>
      <c r="E100" s="118"/>
      <c r="F100" s="118"/>
      <c r="G100" s="118"/>
      <c r="H100" s="118"/>
      <c r="I100" s="120"/>
      <c r="J100" s="120"/>
      <c r="K100" s="120"/>
      <c r="L100" s="120"/>
      <c r="M100" s="120"/>
      <c r="N100" s="120"/>
      <c r="O100" s="120"/>
      <c r="P100" s="120"/>
      <c r="Q100" s="120"/>
      <c r="R100" s="120"/>
      <c r="S100" s="120"/>
      <c r="T100" s="120"/>
      <c r="U100" s="120"/>
      <c r="V100" s="120"/>
      <c r="W100" s="120"/>
      <c r="X100" s="120"/>
      <c r="Y100" s="120"/>
      <c r="Z100" s="120"/>
      <c r="AA100" s="120"/>
      <c r="AB100" s="120"/>
      <c r="AD100" s="120"/>
      <c r="AE100" s="120"/>
      <c r="AF100" s="118"/>
      <c r="AG100" s="177"/>
      <c r="AH100" s="177"/>
      <c r="AI100" s="177"/>
      <c r="AJ100" s="177"/>
      <c r="AK100" s="177"/>
      <c r="AL100" s="177"/>
      <c r="AM100" s="177"/>
      <c r="AO100" s="118"/>
      <c r="AP100" s="118"/>
      <c r="AQ100" s="118"/>
      <c r="AR100" s="118"/>
      <c r="AS100" s="118"/>
      <c r="AT100" s="118"/>
      <c r="AU100" s="118"/>
      <c r="AV100" s="118"/>
      <c r="AW100" s="118"/>
      <c r="AX100" s="118"/>
      <c r="AY100" s="118"/>
      <c r="AZ100" s="118"/>
      <c r="BA100" s="118"/>
      <c r="BB100" s="118"/>
      <c r="BC100" s="118"/>
      <c r="BE100" s="118"/>
      <c r="BF100" s="118"/>
      <c r="BG100" s="118"/>
      <c r="BH100" s="118"/>
      <c r="BI100" s="118"/>
      <c r="BJ100" s="118"/>
      <c r="BK100" s="118"/>
      <c r="BL100" s="118"/>
      <c r="BM100" s="118"/>
      <c r="BN100" s="118"/>
      <c r="BQ100" s="119"/>
    </row>
    <row r="101" spans="2:69" ht="12">
      <c r="B101" s="118"/>
      <c r="C101" s="118"/>
      <c r="D101" s="118"/>
      <c r="E101" s="118"/>
      <c r="F101" s="118"/>
      <c r="G101" s="118"/>
      <c r="H101" s="118"/>
      <c r="I101" s="120"/>
      <c r="J101" s="120"/>
      <c r="K101" s="120"/>
      <c r="L101" s="120"/>
      <c r="M101" s="120"/>
      <c r="N101" s="120"/>
      <c r="O101" s="120"/>
      <c r="P101" s="120"/>
      <c r="Q101" s="120"/>
      <c r="R101" s="120"/>
      <c r="S101" s="120"/>
      <c r="T101" s="120"/>
      <c r="U101" s="120"/>
      <c r="V101" s="120"/>
      <c r="W101" s="120"/>
      <c r="X101" s="120"/>
      <c r="Y101" s="120"/>
      <c r="Z101" s="120"/>
      <c r="AA101" s="120"/>
      <c r="AB101" s="120"/>
      <c r="AD101" s="120"/>
      <c r="AE101" s="120"/>
      <c r="AF101" s="118"/>
      <c r="AG101" s="177"/>
      <c r="AH101" s="177"/>
      <c r="AI101" s="177"/>
      <c r="AJ101" s="177"/>
      <c r="AK101" s="177"/>
      <c r="AL101" s="177"/>
      <c r="AM101" s="177"/>
      <c r="AO101" s="118"/>
      <c r="AP101" s="118"/>
      <c r="AQ101" s="118"/>
      <c r="AR101" s="118"/>
      <c r="AS101" s="118"/>
      <c r="AT101" s="118"/>
      <c r="AU101" s="118"/>
      <c r="AV101" s="118"/>
      <c r="AW101" s="118"/>
      <c r="AX101" s="118"/>
      <c r="AY101" s="118"/>
      <c r="AZ101" s="118"/>
      <c r="BA101" s="118"/>
      <c r="BB101" s="118"/>
      <c r="BC101" s="118"/>
      <c r="BE101" s="118"/>
      <c r="BF101" s="118"/>
      <c r="BG101" s="118"/>
      <c r="BH101" s="118"/>
      <c r="BI101" s="118"/>
      <c r="BJ101" s="118"/>
      <c r="BK101" s="118"/>
      <c r="BL101" s="118"/>
      <c r="BM101" s="118"/>
      <c r="BN101" s="118"/>
      <c r="BQ101" s="119"/>
    </row>
    <row r="102" spans="2:69" ht="12">
      <c r="B102" s="118"/>
      <c r="C102" s="118"/>
      <c r="D102" s="118"/>
      <c r="E102" s="118"/>
      <c r="F102" s="118"/>
      <c r="G102" s="118"/>
      <c r="H102" s="118"/>
      <c r="I102" s="120"/>
      <c r="J102" s="120"/>
      <c r="K102" s="120"/>
      <c r="L102" s="120"/>
      <c r="M102" s="120"/>
      <c r="N102" s="120"/>
      <c r="O102" s="120"/>
      <c r="P102" s="120"/>
      <c r="Q102" s="120"/>
      <c r="R102" s="120"/>
      <c r="S102" s="120"/>
      <c r="T102" s="120"/>
      <c r="U102" s="120"/>
      <c r="V102" s="120"/>
      <c r="W102" s="120"/>
      <c r="X102" s="120"/>
      <c r="Y102" s="120"/>
      <c r="Z102" s="120"/>
      <c r="AA102" s="120"/>
      <c r="AB102" s="120"/>
      <c r="AD102" s="120"/>
      <c r="AE102" s="120"/>
      <c r="AF102" s="118"/>
      <c r="AG102" s="177"/>
      <c r="AH102" s="177"/>
      <c r="AI102" s="177"/>
      <c r="AJ102" s="177"/>
      <c r="AK102" s="177"/>
      <c r="AL102" s="177"/>
      <c r="AM102" s="177"/>
      <c r="AO102" s="118"/>
      <c r="AP102" s="118"/>
      <c r="AQ102" s="118"/>
      <c r="AR102" s="118"/>
      <c r="AS102" s="118"/>
      <c r="AT102" s="118"/>
      <c r="AU102" s="118"/>
      <c r="AV102" s="118"/>
      <c r="AW102" s="118"/>
      <c r="AX102" s="118"/>
      <c r="AY102" s="118"/>
      <c r="AZ102" s="118"/>
      <c r="BA102" s="118"/>
      <c r="BB102" s="118"/>
      <c r="BC102" s="118"/>
      <c r="BE102" s="118"/>
      <c r="BF102" s="118"/>
      <c r="BG102" s="118"/>
      <c r="BH102" s="118"/>
      <c r="BI102" s="118"/>
      <c r="BJ102" s="118"/>
      <c r="BK102" s="118"/>
      <c r="BL102" s="118"/>
      <c r="BM102" s="118"/>
      <c r="BN102" s="118"/>
      <c r="BQ102" s="119"/>
    </row>
    <row r="103" spans="2:69" ht="12">
      <c r="B103" s="118"/>
      <c r="C103" s="118"/>
      <c r="D103" s="118"/>
      <c r="E103" s="118"/>
      <c r="F103" s="118"/>
      <c r="G103" s="118"/>
      <c r="H103" s="118"/>
      <c r="I103" s="120"/>
      <c r="J103" s="120"/>
      <c r="K103" s="120"/>
      <c r="L103" s="120"/>
      <c r="M103" s="120"/>
      <c r="N103" s="120"/>
      <c r="O103" s="120"/>
      <c r="P103" s="120"/>
      <c r="Q103" s="120"/>
      <c r="R103" s="120"/>
      <c r="S103" s="120"/>
      <c r="T103" s="120"/>
      <c r="U103" s="120"/>
      <c r="V103" s="120"/>
      <c r="W103" s="120"/>
      <c r="X103" s="120"/>
      <c r="Y103" s="120"/>
      <c r="Z103" s="120"/>
      <c r="AA103" s="120"/>
      <c r="AB103" s="120"/>
      <c r="AD103" s="120"/>
      <c r="AE103" s="120"/>
      <c r="AF103" s="118"/>
      <c r="AG103" s="177"/>
      <c r="AH103" s="177"/>
      <c r="AI103" s="177"/>
      <c r="AJ103" s="177"/>
      <c r="AK103" s="177"/>
      <c r="AL103" s="177"/>
      <c r="AM103" s="177"/>
      <c r="AO103" s="118"/>
      <c r="AP103" s="118"/>
      <c r="AQ103" s="118"/>
      <c r="AR103" s="118"/>
      <c r="AS103" s="118"/>
      <c r="AT103" s="118"/>
      <c r="AU103" s="118"/>
      <c r="AV103" s="118"/>
      <c r="AW103" s="118"/>
      <c r="AX103" s="118"/>
      <c r="AY103" s="118"/>
      <c r="AZ103" s="118"/>
      <c r="BA103" s="118"/>
      <c r="BB103" s="118"/>
      <c r="BC103" s="118"/>
      <c r="BE103" s="118"/>
      <c r="BF103" s="118"/>
      <c r="BG103" s="118"/>
      <c r="BH103" s="118"/>
      <c r="BI103" s="118"/>
      <c r="BJ103" s="118"/>
      <c r="BK103" s="118"/>
      <c r="BL103" s="118"/>
      <c r="BM103" s="118"/>
      <c r="BN103" s="118"/>
      <c r="BQ103" s="119"/>
    </row>
    <row r="104" spans="2:69" ht="12">
      <c r="B104" s="118"/>
      <c r="C104" s="118"/>
      <c r="D104" s="118"/>
      <c r="E104" s="118"/>
      <c r="F104" s="118"/>
      <c r="G104" s="118"/>
      <c r="H104" s="118"/>
      <c r="I104" s="120"/>
      <c r="J104" s="120"/>
      <c r="K104" s="120"/>
      <c r="L104" s="120"/>
      <c r="M104" s="120"/>
      <c r="N104" s="120"/>
      <c r="O104" s="120"/>
      <c r="P104" s="120"/>
      <c r="Q104" s="120"/>
      <c r="R104" s="120"/>
      <c r="S104" s="120"/>
      <c r="T104" s="120"/>
      <c r="U104" s="120"/>
      <c r="V104" s="120"/>
      <c r="W104" s="120"/>
      <c r="X104" s="120"/>
      <c r="Y104" s="120"/>
      <c r="Z104" s="120"/>
      <c r="AA104" s="120"/>
      <c r="AB104" s="120"/>
      <c r="AD104" s="120"/>
      <c r="AE104" s="120"/>
      <c r="AF104" s="118"/>
      <c r="AG104" s="177"/>
      <c r="AH104" s="177"/>
      <c r="AI104" s="177"/>
      <c r="AJ104" s="177"/>
      <c r="AK104" s="177"/>
      <c r="AL104" s="177"/>
      <c r="AM104" s="177"/>
      <c r="AO104" s="118"/>
      <c r="AP104" s="118"/>
      <c r="AQ104" s="118"/>
      <c r="AR104" s="118"/>
      <c r="AS104" s="118"/>
      <c r="AT104" s="118"/>
      <c r="AU104" s="118"/>
      <c r="AV104" s="118"/>
      <c r="AW104" s="118"/>
      <c r="AX104" s="118"/>
      <c r="AY104" s="118"/>
      <c r="AZ104" s="118"/>
      <c r="BA104" s="118"/>
      <c r="BB104" s="118"/>
      <c r="BC104" s="118"/>
      <c r="BE104" s="118"/>
      <c r="BF104" s="118"/>
      <c r="BG104" s="118"/>
      <c r="BH104" s="118"/>
      <c r="BI104" s="118"/>
      <c r="BJ104" s="118"/>
      <c r="BK104" s="118"/>
      <c r="BL104" s="118"/>
      <c r="BM104" s="118"/>
      <c r="BN104" s="118"/>
      <c r="BQ104" s="119"/>
    </row>
    <row r="105" spans="2:69" ht="12">
      <c r="B105" s="118"/>
      <c r="C105" s="118"/>
      <c r="D105" s="118"/>
      <c r="E105" s="118"/>
      <c r="F105" s="118"/>
      <c r="G105" s="118"/>
      <c r="H105" s="118"/>
      <c r="I105" s="120"/>
      <c r="J105" s="120"/>
      <c r="K105" s="120"/>
      <c r="L105" s="120"/>
      <c r="M105" s="120"/>
      <c r="N105" s="120"/>
      <c r="O105" s="120"/>
      <c r="P105" s="120"/>
      <c r="Q105" s="120"/>
      <c r="R105" s="120"/>
      <c r="S105" s="120"/>
      <c r="T105" s="120"/>
      <c r="U105" s="120"/>
      <c r="V105" s="120"/>
      <c r="W105" s="120"/>
      <c r="X105" s="120"/>
      <c r="Y105" s="120"/>
      <c r="Z105" s="120"/>
      <c r="AA105" s="120"/>
      <c r="AB105" s="120"/>
      <c r="AD105" s="120"/>
      <c r="AE105" s="120"/>
      <c r="AF105" s="118"/>
      <c r="AG105" s="177"/>
      <c r="AH105" s="177"/>
      <c r="AI105" s="177"/>
      <c r="AJ105" s="177"/>
      <c r="AK105" s="177"/>
      <c r="AL105" s="177"/>
      <c r="AM105" s="177"/>
      <c r="AO105" s="118"/>
      <c r="AP105" s="118"/>
      <c r="AQ105" s="118"/>
      <c r="AR105" s="118"/>
      <c r="AS105" s="118"/>
      <c r="AT105" s="118"/>
      <c r="AU105" s="118"/>
      <c r="AV105" s="118"/>
      <c r="AW105" s="118"/>
      <c r="AX105" s="118"/>
      <c r="AY105" s="118"/>
      <c r="AZ105" s="118"/>
      <c r="BA105" s="118"/>
      <c r="BB105" s="118"/>
      <c r="BC105" s="118"/>
      <c r="BE105" s="118"/>
      <c r="BF105" s="118"/>
      <c r="BG105" s="118"/>
      <c r="BH105" s="118"/>
      <c r="BI105" s="118"/>
      <c r="BJ105" s="118"/>
      <c r="BK105" s="118"/>
      <c r="BL105" s="118"/>
      <c r="BM105" s="118"/>
      <c r="BN105" s="118"/>
      <c r="BQ105" s="119"/>
    </row>
    <row r="106" spans="2:69" ht="12">
      <c r="B106" s="118"/>
      <c r="C106" s="118"/>
      <c r="D106" s="118"/>
      <c r="E106" s="118"/>
      <c r="F106" s="118"/>
      <c r="G106" s="118"/>
      <c r="H106" s="118"/>
      <c r="I106" s="120"/>
      <c r="J106" s="120"/>
      <c r="K106" s="120"/>
      <c r="L106" s="120"/>
      <c r="M106" s="120"/>
      <c r="N106" s="120"/>
      <c r="O106" s="120"/>
      <c r="P106" s="120"/>
      <c r="Q106" s="120"/>
      <c r="R106" s="120"/>
      <c r="S106" s="120"/>
      <c r="T106" s="120"/>
      <c r="U106" s="120"/>
      <c r="V106" s="120"/>
      <c r="W106" s="120"/>
      <c r="X106" s="120"/>
      <c r="Y106" s="120"/>
      <c r="Z106" s="120"/>
      <c r="AA106" s="120"/>
      <c r="AB106" s="120"/>
      <c r="AD106" s="120"/>
      <c r="AE106" s="120"/>
      <c r="AF106" s="118"/>
      <c r="AG106" s="177"/>
      <c r="AH106" s="177"/>
      <c r="AI106" s="177"/>
      <c r="AJ106" s="177"/>
      <c r="AK106" s="177"/>
      <c r="AL106" s="177"/>
      <c r="AM106" s="177"/>
      <c r="AO106" s="118"/>
      <c r="AP106" s="118"/>
      <c r="AQ106" s="118"/>
      <c r="AR106" s="118"/>
      <c r="AS106" s="118"/>
      <c r="AT106" s="118"/>
      <c r="AU106" s="118"/>
      <c r="AV106" s="118"/>
      <c r="AW106" s="118"/>
      <c r="AX106" s="118"/>
      <c r="AY106" s="118"/>
      <c r="AZ106" s="118"/>
      <c r="BA106" s="118"/>
      <c r="BB106" s="118"/>
      <c r="BC106" s="118"/>
      <c r="BE106" s="118"/>
      <c r="BF106" s="118"/>
      <c r="BG106" s="118"/>
      <c r="BH106" s="118"/>
      <c r="BI106" s="118"/>
      <c r="BJ106" s="118"/>
      <c r="BK106" s="118"/>
      <c r="BL106" s="118"/>
      <c r="BM106" s="118"/>
      <c r="BN106" s="118"/>
      <c r="BQ106" s="119"/>
    </row>
    <row r="107" spans="2:69" ht="12">
      <c r="B107" s="118"/>
      <c r="C107" s="118"/>
      <c r="D107" s="118"/>
      <c r="E107" s="118"/>
      <c r="F107" s="118"/>
      <c r="G107" s="118"/>
      <c r="H107" s="118"/>
      <c r="I107" s="120"/>
      <c r="J107" s="120"/>
      <c r="K107" s="120"/>
      <c r="L107" s="120"/>
      <c r="M107" s="120"/>
      <c r="N107" s="120"/>
      <c r="O107" s="120"/>
      <c r="P107" s="120"/>
      <c r="Q107" s="120"/>
      <c r="R107" s="120"/>
      <c r="S107" s="120"/>
      <c r="T107" s="120"/>
      <c r="U107" s="120"/>
      <c r="V107" s="120"/>
      <c r="W107" s="120"/>
      <c r="X107" s="120"/>
      <c r="Y107" s="120"/>
      <c r="Z107" s="120"/>
      <c r="AA107" s="120"/>
      <c r="AB107" s="120"/>
      <c r="AD107" s="120"/>
      <c r="AE107" s="120"/>
      <c r="AF107" s="118"/>
      <c r="AG107" s="177"/>
      <c r="AH107" s="177"/>
      <c r="AI107" s="177"/>
      <c r="AJ107" s="177"/>
      <c r="AK107" s="177"/>
      <c r="AL107" s="177"/>
      <c r="AM107" s="177"/>
      <c r="AO107" s="118"/>
      <c r="AP107" s="118"/>
      <c r="AQ107" s="118"/>
      <c r="AR107" s="118"/>
      <c r="AS107" s="118"/>
      <c r="AT107" s="118"/>
      <c r="AU107" s="118"/>
      <c r="AV107" s="118"/>
      <c r="AW107" s="118"/>
      <c r="AX107" s="118"/>
      <c r="AY107" s="118"/>
      <c r="AZ107" s="118"/>
      <c r="BA107" s="118"/>
      <c r="BB107" s="118"/>
      <c r="BC107" s="118"/>
      <c r="BE107" s="118"/>
      <c r="BF107" s="118"/>
      <c r="BG107" s="118"/>
      <c r="BH107" s="118"/>
      <c r="BI107" s="118"/>
      <c r="BJ107" s="118"/>
      <c r="BK107" s="118"/>
      <c r="BL107" s="118"/>
      <c r="BM107" s="118"/>
      <c r="BN107" s="118"/>
      <c r="BQ107" s="119"/>
    </row>
    <row r="108" spans="2:69" ht="12">
      <c r="B108" s="118"/>
      <c r="C108" s="118"/>
      <c r="D108" s="118"/>
      <c r="E108" s="118"/>
      <c r="F108" s="118"/>
      <c r="G108" s="118"/>
      <c r="H108" s="118"/>
      <c r="I108" s="120"/>
      <c r="J108" s="120"/>
      <c r="K108" s="120"/>
      <c r="L108" s="120"/>
      <c r="M108" s="120"/>
      <c r="N108" s="120"/>
      <c r="O108" s="120"/>
      <c r="P108" s="120"/>
      <c r="Q108" s="120"/>
      <c r="R108" s="120"/>
      <c r="S108" s="120"/>
      <c r="T108" s="120"/>
      <c r="U108" s="120"/>
      <c r="V108" s="120"/>
      <c r="W108" s="120"/>
      <c r="X108" s="120"/>
      <c r="Y108" s="120"/>
      <c r="Z108" s="120"/>
      <c r="AA108" s="120"/>
      <c r="AB108" s="120"/>
      <c r="AD108" s="120"/>
      <c r="AE108" s="120"/>
      <c r="AF108" s="118"/>
      <c r="AG108" s="177"/>
      <c r="AH108" s="177"/>
      <c r="AI108" s="177"/>
      <c r="AJ108" s="177"/>
      <c r="AK108" s="177"/>
      <c r="AL108" s="177"/>
      <c r="AM108" s="177"/>
      <c r="AO108" s="118"/>
      <c r="AP108" s="118"/>
      <c r="AQ108" s="118"/>
      <c r="AR108" s="118"/>
      <c r="AS108" s="118"/>
      <c r="AT108" s="118"/>
      <c r="AU108" s="118"/>
      <c r="AV108" s="118"/>
      <c r="AW108" s="118"/>
      <c r="AX108" s="118"/>
      <c r="AY108" s="118"/>
      <c r="AZ108" s="118"/>
      <c r="BA108" s="118"/>
      <c r="BB108" s="118"/>
      <c r="BC108" s="118"/>
      <c r="BE108" s="118"/>
      <c r="BF108" s="118"/>
      <c r="BG108" s="118"/>
      <c r="BH108" s="118"/>
      <c r="BI108" s="118"/>
      <c r="BJ108" s="118"/>
      <c r="BK108" s="118"/>
      <c r="BL108" s="118"/>
      <c r="BM108" s="118"/>
      <c r="BN108" s="118"/>
      <c r="BQ108" s="119"/>
    </row>
    <row r="109" spans="2:69" ht="12">
      <c r="B109" s="118"/>
      <c r="C109" s="118"/>
      <c r="D109" s="118"/>
      <c r="E109" s="118"/>
      <c r="F109" s="118"/>
      <c r="G109" s="118"/>
      <c r="H109" s="118"/>
      <c r="I109" s="120"/>
      <c r="J109" s="120"/>
      <c r="K109" s="120"/>
      <c r="L109" s="120"/>
      <c r="M109" s="120"/>
      <c r="N109" s="120"/>
      <c r="O109" s="120"/>
      <c r="P109" s="120"/>
      <c r="Q109" s="120"/>
      <c r="R109" s="120"/>
      <c r="S109" s="120"/>
      <c r="T109" s="120"/>
      <c r="U109" s="120"/>
      <c r="V109" s="120"/>
      <c r="W109" s="120"/>
      <c r="X109" s="120"/>
      <c r="Y109" s="120"/>
      <c r="Z109" s="120"/>
      <c r="AA109" s="120"/>
      <c r="AB109" s="120"/>
      <c r="AD109" s="120"/>
      <c r="AE109" s="120"/>
      <c r="AF109" s="118"/>
      <c r="AG109" s="177"/>
      <c r="AH109" s="177"/>
      <c r="AI109" s="177"/>
      <c r="AJ109" s="177"/>
      <c r="AK109" s="177"/>
      <c r="AL109" s="177"/>
      <c r="AM109" s="177"/>
      <c r="AO109" s="118"/>
      <c r="AP109" s="118"/>
      <c r="AQ109" s="118"/>
      <c r="AR109" s="118"/>
      <c r="AS109" s="118"/>
      <c r="AT109" s="118"/>
      <c r="AU109" s="118"/>
      <c r="AV109" s="118"/>
      <c r="AW109" s="118"/>
      <c r="AX109" s="118"/>
      <c r="AY109" s="118"/>
      <c r="AZ109" s="118"/>
      <c r="BA109" s="118"/>
      <c r="BB109" s="118"/>
      <c r="BC109" s="118"/>
      <c r="BE109" s="118"/>
      <c r="BF109" s="118"/>
      <c r="BG109" s="118"/>
      <c r="BH109" s="118"/>
      <c r="BI109" s="118"/>
      <c r="BJ109" s="118"/>
      <c r="BK109" s="118"/>
      <c r="BL109" s="118"/>
      <c r="BM109" s="118"/>
      <c r="BN109" s="118"/>
      <c r="BQ109" s="119"/>
    </row>
    <row r="110" spans="2:69" ht="12">
      <c r="B110" s="118"/>
      <c r="C110" s="118"/>
      <c r="D110" s="118"/>
      <c r="E110" s="118"/>
      <c r="F110" s="118"/>
      <c r="G110" s="118"/>
      <c r="H110" s="118"/>
      <c r="I110" s="120"/>
      <c r="J110" s="120"/>
      <c r="K110" s="120"/>
      <c r="L110" s="120"/>
      <c r="M110" s="120"/>
      <c r="N110" s="120"/>
      <c r="O110" s="120"/>
      <c r="P110" s="120"/>
      <c r="Q110" s="120"/>
      <c r="R110" s="120"/>
      <c r="S110" s="120"/>
      <c r="T110" s="120"/>
      <c r="U110" s="120"/>
      <c r="V110" s="120"/>
      <c r="W110" s="120"/>
      <c r="X110" s="120"/>
      <c r="Y110" s="120"/>
      <c r="Z110" s="120"/>
      <c r="AA110" s="120"/>
      <c r="AB110" s="120"/>
      <c r="AD110" s="120"/>
      <c r="AE110" s="120"/>
      <c r="AF110" s="118"/>
      <c r="AG110" s="177"/>
      <c r="AH110" s="177"/>
      <c r="AI110" s="177"/>
      <c r="AJ110" s="177"/>
      <c r="AK110" s="177"/>
      <c r="AL110" s="177"/>
      <c r="AM110" s="177"/>
      <c r="AO110" s="118"/>
      <c r="AP110" s="118"/>
      <c r="AQ110" s="118"/>
      <c r="AR110" s="118"/>
      <c r="AS110" s="118"/>
      <c r="AT110" s="118"/>
      <c r="AU110" s="118"/>
      <c r="AV110" s="118"/>
      <c r="AW110" s="118"/>
      <c r="AX110" s="118"/>
      <c r="AY110" s="118"/>
      <c r="AZ110" s="118"/>
      <c r="BA110" s="118"/>
      <c r="BB110" s="118"/>
      <c r="BC110" s="118"/>
      <c r="BE110" s="118"/>
      <c r="BF110" s="118"/>
      <c r="BG110" s="118"/>
      <c r="BH110" s="118"/>
      <c r="BI110" s="118"/>
      <c r="BJ110" s="118"/>
      <c r="BK110" s="118"/>
      <c r="BL110" s="118"/>
      <c r="BM110" s="118"/>
      <c r="BN110" s="118"/>
      <c r="BQ110" s="119"/>
    </row>
    <row r="111" spans="2:69" ht="12">
      <c r="B111" s="118"/>
      <c r="C111" s="118"/>
      <c r="D111" s="118"/>
      <c r="E111" s="118"/>
      <c r="F111" s="118"/>
      <c r="G111" s="118"/>
      <c r="H111" s="118"/>
      <c r="I111" s="120"/>
      <c r="J111" s="120"/>
      <c r="K111" s="120"/>
      <c r="L111" s="120"/>
      <c r="M111" s="120"/>
      <c r="N111" s="120"/>
      <c r="O111" s="120"/>
      <c r="P111" s="120"/>
      <c r="Q111" s="120"/>
      <c r="R111" s="120"/>
      <c r="S111" s="120"/>
      <c r="T111" s="120"/>
      <c r="U111" s="120"/>
      <c r="V111" s="120"/>
      <c r="W111" s="120"/>
      <c r="X111" s="120"/>
      <c r="Y111" s="120"/>
      <c r="Z111" s="120"/>
      <c r="AA111" s="120"/>
      <c r="AB111" s="120"/>
      <c r="AD111" s="120"/>
      <c r="AE111" s="120"/>
      <c r="AF111" s="118"/>
      <c r="AG111" s="177"/>
      <c r="AH111" s="177"/>
      <c r="AI111" s="177"/>
      <c r="AJ111" s="177"/>
      <c r="AK111" s="177"/>
      <c r="AL111" s="177"/>
      <c r="AM111" s="177"/>
      <c r="AO111" s="118"/>
      <c r="AP111" s="118"/>
      <c r="AQ111" s="118"/>
      <c r="AR111" s="118"/>
      <c r="AS111" s="118"/>
      <c r="AT111" s="118"/>
      <c r="AU111" s="118"/>
      <c r="AV111" s="118"/>
      <c r="AW111" s="118"/>
      <c r="AX111" s="118"/>
      <c r="AY111" s="118"/>
      <c r="AZ111" s="118"/>
      <c r="BA111" s="118"/>
      <c r="BB111" s="118"/>
      <c r="BC111" s="118"/>
      <c r="BE111" s="118"/>
      <c r="BF111" s="118"/>
      <c r="BG111" s="118"/>
      <c r="BH111" s="118"/>
      <c r="BI111" s="118"/>
      <c r="BJ111" s="118"/>
      <c r="BK111" s="118"/>
      <c r="BL111" s="118"/>
      <c r="BM111" s="118"/>
      <c r="BN111" s="118"/>
      <c r="BQ111" s="119"/>
    </row>
    <row r="112" spans="2:69" ht="12">
      <c r="B112" s="118"/>
      <c r="C112" s="118"/>
      <c r="D112" s="118"/>
      <c r="E112" s="118"/>
      <c r="F112" s="118"/>
      <c r="G112" s="118"/>
      <c r="H112" s="118"/>
      <c r="I112" s="120"/>
      <c r="J112" s="120"/>
      <c r="K112" s="120"/>
      <c r="L112" s="120"/>
      <c r="M112" s="120"/>
      <c r="N112" s="120"/>
      <c r="O112" s="120"/>
      <c r="P112" s="120"/>
      <c r="Q112" s="120"/>
      <c r="R112" s="120"/>
      <c r="S112" s="120"/>
      <c r="T112" s="120"/>
      <c r="U112" s="120"/>
      <c r="V112" s="120"/>
      <c r="W112" s="120"/>
      <c r="X112" s="120"/>
      <c r="Y112" s="120"/>
      <c r="Z112" s="120"/>
      <c r="AA112" s="120"/>
      <c r="AB112" s="120"/>
      <c r="AD112" s="120"/>
      <c r="AE112" s="120"/>
      <c r="AF112" s="118"/>
      <c r="AG112" s="177"/>
      <c r="AH112" s="177"/>
      <c r="AI112" s="177"/>
      <c r="AJ112" s="177"/>
      <c r="AK112" s="177"/>
      <c r="AL112" s="177"/>
      <c r="AM112" s="177"/>
      <c r="AO112" s="118"/>
      <c r="AP112" s="118"/>
      <c r="AQ112" s="118"/>
      <c r="AR112" s="118"/>
      <c r="AS112" s="118"/>
      <c r="AT112" s="118"/>
      <c r="AU112" s="118"/>
      <c r="AV112" s="118"/>
      <c r="AW112" s="118"/>
      <c r="AX112" s="118"/>
      <c r="AY112" s="118"/>
      <c r="AZ112" s="118"/>
      <c r="BA112" s="118"/>
      <c r="BB112" s="118"/>
      <c r="BC112" s="118"/>
      <c r="BE112" s="118"/>
      <c r="BF112" s="118"/>
      <c r="BG112" s="118"/>
      <c r="BH112" s="118"/>
      <c r="BI112" s="118"/>
      <c r="BJ112" s="118"/>
      <c r="BK112" s="118"/>
      <c r="BL112" s="118"/>
      <c r="BM112" s="118"/>
      <c r="BN112" s="118"/>
      <c r="BQ112" s="119"/>
    </row>
    <row r="113" spans="2:69" ht="12">
      <c r="B113" s="118"/>
      <c r="C113" s="118"/>
      <c r="D113" s="118"/>
      <c r="E113" s="118"/>
      <c r="F113" s="118"/>
      <c r="G113" s="118"/>
      <c r="H113" s="118"/>
      <c r="I113" s="120"/>
      <c r="J113" s="120"/>
      <c r="K113" s="120"/>
      <c r="L113" s="120"/>
      <c r="M113" s="120"/>
      <c r="N113" s="120"/>
      <c r="O113" s="120"/>
      <c r="P113" s="120"/>
      <c r="Q113" s="120"/>
      <c r="R113" s="120"/>
      <c r="S113" s="120"/>
      <c r="T113" s="120"/>
      <c r="U113" s="120"/>
      <c r="V113" s="120"/>
      <c r="W113" s="120"/>
      <c r="X113" s="120"/>
      <c r="Y113" s="120"/>
      <c r="Z113" s="120"/>
      <c r="AA113" s="120"/>
      <c r="AB113" s="120"/>
      <c r="AD113" s="120"/>
      <c r="AE113" s="120"/>
      <c r="AF113" s="118"/>
      <c r="AG113" s="177"/>
      <c r="AH113" s="177"/>
      <c r="AI113" s="177"/>
      <c r="AJ113" s="177"/>
      <c r="AK113" s="177"/>
      <c r="AL113" s="177"/>
      <c r="AM113" s="177"/>
      <c r="AO113" s="118"/>
      <c r="AP113" s="118"/>
      <c r="AQ113" s="118"/>
      <c r="AR113" s="118"/>
      <c r="AS113" s="118"/>
      <c r="AT113" s="118"/>
      <c r="AU113" s="118"/>
      <c r="AV113" s="118"/>
      <c r="AW113" s="118"/>
      <c r="AX113" s="118"/>
      <c r="AY113" s="118"/>
      <c r="AZ113" s="118"/>
      <c r="BA113" s="118"/>
      <c r="BB113" s="118"/>
      <c r="BC113" s="118"/>
      <c r="BE113" s="118"/>
      <c r="BF113" s="118"/>
      <c r="BG113" s="118"/>
      <c r="BH113" s="118"/>
      <c r="BI113" s="118"/>
      <c r="BJ113" s="118"/>
      <c r="BK113" s="118"/>
      <c r="BL113" s="118"/>
      <c r="BM113" s="118"/>
      <c r="BN113" s="118"/>
      <c r="BQ113" s="119"/>
    </row>
    <row r="114" spans="2:69" ht="12">
      <c r="B114" s="118"/>
      <c r="C114" s="118"/>
      <c r="D114" s="118"/>
      <c r="E114" s="118"/>
      <c r="F114" s="118"/>
      <c r="G114" s="118"/>
      <c r="H114" s="118"/>
      <c r="I114" s="120"/>
      <c r="J114" s="120"/>
      <c r="K114" s="120"/>
      <c r="L114" s="120"/>
      <c r="M114" s="120"/>
      <c r="N114" s="120"/>
      <c r="O114" s="120"/>
      <c r="P114" s="120"/>
      <c r="Q114" s="120"/>
      <c r="R114" s="120"/>
      <c r="S114" s="120"/>
      <c r="T114" s="120"/>
      <c r="U114" s="120"/>
      <c r="V114" s="120"/>
      <c r="W114" s="120"/>
      <c r="X114" s="120"/>
      <c r="Y114" s="120"/>
      <c r="Z114" s="120"/>
      <c r="AA114" s="120"/>
      <c r="AB114" s="120"/>
      <c r="AD114" s="120"/>
      <c r="AE114" s="120"/>
      <c r="AF114" s="118"/>
      <c r="AG114" s="177"/>
      <c r="AH114" s="177"/>
      <c r="AI114" s="177"/>
      <c r="AJ114" s="177"/>
      <c r="AK114" s="177"/>
      <c r="AL114" s="177"/>
      <c r="AM114" s="177"/>
      <c r="AO114" s="118"/>
      <c r="AP114" s="118"/>
      <c r="AQ114" s="118"/>
      <c r="AR114" s="118"/>
      <c r="AS114" s="118"/>
      <c r="AT114" s="118"/>
      <c r="AU114" s="118"/>
      <c r="AV114" s="118"/>
      <c r="AW114" s="118"/>
      <c r="AX114" s="118"/>
      <c r="AY114" s="118"/>
      <c r="AZ114" s="118"/>
      <c r="BA114" s="118"/>
      <c r="BB114" s="118"/>
      <c r="BC114" s="118"/>
      <c r="BE114" s="118"/>
      <c r="BF114" s="118"/>
      <c r="BG114" s="118"/>
      <c r="BH114" s="118"/>
      <c r="BI114" s="118"/>
      <c r="BJ114" s="118"/>
      <c r="BK114" s="118"/>
      <c r="BL114" s="118"/>
      <c r="BM114" s="118"/>
      <c r="BN114" s="118"/>
      <c r="BQ114" s="119"/>
    </row>
    <row r="115" spans="9:40" s="118" customFormat="1" ht="12">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G115" s="177"/>
      <c r="AH115" s="177"/>
      <c r="AI115" s="177"/>
      <c r="AJ115" s="177"/>
      <c r="AK115" s="177"/>
      <c r="AL115" s="177"/>
      <c r="AM115" s="177"/>
      <c r="AN115" s="121"/>
    </row>
    <row r="116" spans="1:70" s="149" customFormat="1" ht="12">
      <c r="A116" s="118"/>
      <c r="B116" s="118"/>
      <c r="C116" s="118"/>
      <c r="D116" s="118"/>
      <c r="E116" s="118"/>
      <c r="F116" s="118"/>
      <c r="G116" s="118"/>
      <c r="H116" s="118"/>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18"/>
      <c r="AG116" s="177"/>
      <c r="AH116" s="177"/>
      <c r="AI116" s="177"/>
      <c r="AJ116" s="177"/>
      <c r="AK116" s="177"/>
      <c r="AL116" s="177"/>
      <c r="AM116" s="177"/>
      <c r="AN116" s="121"/>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c r="BL116" s="118"/>
      <c r="BM116" s="118"/>
      <c r="BN116" s="118"/>
      <c r="BO116" s="118"/>
      <c r="BR116" s="118"/>
    </row>
  </sheetData>
  <sheetProtection/>
  <mergeCells count="90">
    <mergeCell ref="F24:K24"/>
    <mergeCell ref="L24:M24"/>
    <mergeCell ref="N24:O24"/>
    <mergeCell ref="P24:Q24"/>
    <mergeCell ref="R24:S24"/>
    <mergeCell ref="A1:B1"/>
    <mergeCell ref="F1:L1"/>
    <mergeCell ref="M1:AF1"/>
    <mergeCell ref="I3:N3"/>
    <mergeCell ref="O3:S3"/>
    <mergeCell ref="P26:Q26"/>
    <mergeCell ref="R26:S26"/>
    <mergeCell ref="AN22:AT22"/>
    <mergeCell ref="AN23:AO23"/>
    <mergeCell ref="AP23:AR23"/>
    <mergeCell ref="AS23:AT23"/>
    <mergeCell ref="L29:M29"/>
    <mergeCell ref="N29:O29"/>
    <mergeCell ref="P29:Q29"/>
    <mergeCell ref="R29:S29"/>
    <mergeCell ref="L25:M25"/>
    <mergeCell ref="N25:O25"/>
    <mergeCell ref="P25:Q25"/>
    <mergeCell ref="R25:S25"/>
    <mergeCell ref="L26:M26"/>
    <mergeCell ref="N26:O26"/>
    <mergeCell ref="F32:K32"/>
    <mergeCell ref="L32:M32"/>
    <mergeCell ref="N32:O32"/>
    <mergeCell ref="P32:Q32"/>
    <mergeCell ref="R32:S32"/>
    <mergeCell ref="F28:K28"/>
    <mergeCell ref="L28:M28"/>
    <mergeCell ref="N28:O28"/>
    <mergeCell ref="P28:Q28"/>
    <mergeCell ref="R28:S28"/>
    <mergeCell ref="P34:Q34"/>
    <mergeCell ref="R34:S34"/>
    <mergeCell ref="L30:M30"/>
    <mergeCell ref="N30:O30"/>
    <mergeCell ref="P30:Q30"/>
    <mergeCell ref="R30:S30"/>
    <mergeCell ref="L37:M37"/>
    <mergeCell ref="N37:O37"/>
    <mergeCell ref="P37:Q37"/>
    <mergeCell ref="R37:S37"/>
    <mergeCell ref="L33:M33"/>
    <mergeCell ref="N33:O33"/>
    <mergeCell ref="P33:Q33"/>
    <mergeCell ref="R33:S33"/>
    <mergeCell ref="L34:M34"/>
    <mergeCell ref="N34:O34"/>
    <mergeCell ref="F40:K40"/>
    <mergeCell ref="L40:M40"/>
    <mergeCell ref="N40:O40"/>
    <mergeCell ref="P40:Q40"/>
    <mergeCell ref="R40:S40"/>
    <mergeCell ref="F36:K36"/>
    <mergeCell ref="L36:M36"/>
    <mergeCell ref="N36:O36"/>
    <mergeCell ref="P36:Q36"/>
    <mergeCell ref="R36:S36"/>
    <mergeCell ref="R41:S41"/>
    <mergeCell ref="L42:M42"/>
    <mergeCell ref="N42:O42"/>
    <mergeCell ref="P42:Q42"/>
    <mergeCell ref="R42:S42"/>
    <mergeCell ref="L38:M38"/>
    <mergeCell ref="N38:O38"/>
    <mergeCell ref="P38:Q38"/>
    <mergeCell ref="R38:S38"/>
    <mergeCell ref="F44:K44"/>
    <mergeCell ref="L44:M44"/>
    <mergeCell ref="N44:O44"/>
    <mergeCell ref="P44:Q44"/>
    <mergeCell ref="R44:S44"/>
    <mergeCell ref="L45:M45"/>
    <mergeCell ref="N45:O45"/>
    <mergeCell ref="P45:Q45"/>
    <mergeCell ref="R45:S45"/>
    <mergeCell ref="T3:X3"/>
    <mergeCell ref="Y3:Z3"/>
    <mergeCell ref="AA3:AD3"/>
    <mergeCell ref="L46:M46"/>
    <mergeCell ref="N46:O46"/>
    <mergeCell ref="P46:Q46"/>
    <mergeCell ref="R46:S46"/>
    <mergeCell ref="L41:M41"/>
    <mergeCell ref="N41:O41"/>
    <mergeCell ref="P41:Q41"/>
  </mergeCells>
  <dataValidations count="7">
    <dataValidation operator="equal" allowBlank="1" showInputMessage="1" prompt="3- b) Écoute à nouveau la conversation et réponds en français par un mot." sqref="J4">
      <formula1>0</formula1>
    </dataValidation>
    <dataValidation operator="equal" allowBlank="1" showInputMessage="1" prompt="4- Écoute cette histoire. Pour chaque phrase, coche la bonne réponse." sqref="K4">
      <formula1>0</formula1>
    </dataValidation>
    <dataValidation operator="equal" allowBlank="1" showInputMessage="1" prompt="5- Écoute la question et sa réponse puis illustre la réponse par un dessin." sqref="L4">
      <formula1>0</formula1>
    </dataValidation>
    <dataValidation operator="equal" allowBlank="1" showInputMessage="1" prompt="6- Écris sous chaque image le numéro qui correspond." sqref="M4">
      <formula1>0</formula1>
    </dataValidation>
    <dataValidation operator="equal" allowBlank="1" showInputMessage="1" prompt="7- Écris les nombres entendus en chiffres." sqref="N4">
      <formula1>0</formula1>
    </dataValidation>
    <dataValidation allowBlank="1" showInputMessage="1" showErrorMessage="1" promptTitle="Ne rien écrire ici !" prompt="Ne modifiez rien dans ce titre, les données sont à écrire dans l'onglet à_lire" sqref="M1:AF1">
      <formula1>0</formula1>
      <formula2>0</formula2>
    </dataValidation>
    <dataValidation operator="equal" allowBlank="1" showInputMessage="1" promptTitle="Onglet &quot;diagrammes&quot;" prompt="Dans cet onglet, pas de modification possible. Il est uniquement à imprimer (pensez à remplir les cellules rouges de l'onglet &quot;à_lire&quot; pour que le titre s'affiche." sqref="A1">
      <formula1>0</formula1>
    </dataValidation>
  </dataValidations>
  <printOptions/>
  <pageMargins left="0.5902777777777778" right="0.5902777777777778" top="0.5902777777777778" bottom="0.5902777777777778" header="0.5118055555555555" footer="0.5118055555555555"/>
  <pageSetup fitToHeight="1"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D46"/>
  <sheetViews>
    <sheetView showGridLines="0" zoomScaleSheetLayoutView="90" workbookViewId="0" topLeftCell="A15">
      <selection activeCell="H4" sqref="H4:N4"/>
    </sheetView>
  </sheetViews>
  <sheetFormatPr defaultColWidth="11.57421875" defaultRowHeight="12.75"/>
  <cols>
    <col min="1" max="1" width="62.8515625" style="0" customWidth="1"/>
    <col min="2" max="24" width="2.421875" style="0" customWidth="1"/>
    <col min="25" max="16384" width="11.421875" style="0" customWidth="1"/>
  </cols>
  <sheetData>
    <row r="1" spans="1:13" ht="12" hidden="1">
      <c r="A1" s="150"/>
      <c r="B1" s="151"/>
      <c r="C1" s="151"/>
      <c r="D1" s="151"/>
      <c r="E1" s="151"/>
      <c r="F1" s="151"/>
      <c r="G1" s="151"/>
      <c r="H1" s="151"/>
      <c r="I1" s="151"/>
      <c r="J1" s="151"/>
      <c r="K1" s="151"/>
      <c r="L1" s="151"/>
      <c r="M1" s="151"/>
    </row>
    <row r="2" spans="1:24" ht="12">
      <c r="A2" s="150" t="s">
        <v>67</v>
      </c>
      <c r="B2" s="118"/>
      <c r="C2" s="118"/>
      <c r="D2" s="118"/>
      <c r="E2" s="118"/>
      <c r="F2" s="118"/>
      <c r="G2" s="118"/>
      <c r="H2" s="118"/>
      <c r="I2" s="118"/>
      <c r="J2" s="118"/>
      <c r="K2" s="118"/>
      <c r="L2" s="118"/>
      <c r="M2" s="118"/>
      <c r="N2" s="118"/>
      <c r="O2" s="118"/>
      <c r="P2" s="118"/>
      <c r="Q2" s="118"/>
      <c r="R2" s="118"/>
      <c r="S2" s="118"/>
      <c r="T2" s="118"/>
      <c r="U2" s="118"/>
      <c r="V2" s="118"/>
      <c r="W2" s="118"/>
      <c r="X2" s="118"/>
    </row>
    <row r="3" spans="1:24" ht="9" customHeight="1">
      <c r="A3" s="151"/>
      <c r="B3" s="118"/>
      <c r="C3" s="118"/>
      <c r="D3" s="118"/>
      <c r="E3" s="118"/>
      <c r="F3" s="118"/>
      <c r="G3" s="118"/>
      <c r="H3" s="118"/>
      <c r="I3" s="118"/>
      <c r="J3" s="118"/>
      <c r="K3" s="118"/>
      <c r="L3" s="118"/>
      <c r="M3" s="118"/>
      <c r="N3" s="118"/>
      <c r="O3" s="118"/>
      <c r="P3" s="118"/>
      <c r="Q3" s="118"/>
      <c r="R3" s="118"/>
      <c r="S3" s="118"/>
      <c r="T3" s="118"/>
      <c r="U3" s="118"/>
      <c r="V3" s="118"/>
      <c r="W3" s="118"/>
      <c r="X3" s="118"/>
    </row>
    <row r="4" spans="1:30" ht="40.5" customHeight="1">
      <c r="A4" s="152" t="s">
        <v>68</v>
      </c>
      <c r="B4" s="250" t="s">
        <v>69</v>
      </c>
      <c r="C4" s="250"/>
      <c r="D4" s="250"/>
      <c r="E4" s="250"/>
      <c r="F4" s="250"/>
      <c r="G4" s="250"/>
      <c r="H4" s="251" t="s">
        <v>70</v>
      </c>
      <c r="I4" s="251"/>
      <c r="J4" s="251"/>
      <c r="K4" s="251"/>
      <c r="L4" s="251"/>
      <c r="M4" s="251"/>
      <c r="N4" s="251"/>
      <c r="O4" s="153"/>
      <c r="P4" s="153"/>
      <c r="Q4" s="153"/>
      <c r="R4" s="153"/>
      <c r="S4" s="153"/>
      <c r="T4" s="153"/>
      <c r="U4" s="153"/>
      <c r="V4" s="153"/>
      <c r="W4" s="153"/>
      <c r="X4" s="153"/>
      <c r="Y4" s="153"/>
      <c r="Z4" s="153"/>
      <c r="AA4" s="153"/>
      <c r="AB4" s="153"/>
      <c r="AC4" s="153"/>
      <c r="AD4" s="153"/>
    </row>
    <row r="5" spans="1:24" ht="11.25" customHeight="1" hidden="1">
      <c r="A5" s="154"/>
      <c r="B5" s="252"/>
      <c r="C5" s="252"/>
      <c r="D5" s="252"/>
      <c r="E5" s="252"/>
      <c r="F5" s="252"/>
      <c r="G5" s="252"/>
      <c r="H5" s="252"/>
      <c r="I5" s="252"/>
      <c r="J5" s="252"/>
      <c r="K5" s="252"/>
      <c r="L5" s="252"/>
      <c r="M5" s="252"/>
      <c r="N5" s="252"/>
      <c r="O5" s="252"/>
      <c r="P5" s="252"/>
      <c r="Q5" s="252"/>
      <c r="R5" s="252"/>
      <c r="S5" s="252"/>
      <c r="T5" s="252"/>
      <c r="U5" s="252"/>
      <c r="V5" s="252"/>
      <c r="W5" s="252"/>
      <c r="X5" s="252"/>
    </row>
    <row r="6" spans="1:24" ht="12">
      <c r="A6" s="118"/>
      <c r="B6" s="118"/>
      <c r="C6" s="118"/>
      <c r="D6" s="118"/>
      <c r="E6" s="118"/>
      <c r="F6" s="118"/>
      <c r="G6" s="118"/>
      <c r="H6" s="118"/>
      <c r="I6" s="118"/>
      <c r="J6" s="118"/>
      <c r="K6" s="118"/>
      <c r="L6" s="118"/>
      <c r="M6" s="118"/>
      <c r="N6" s="118"/>
      <c r="O6" s="118"/>
      <c r="P6" s="118"/>
      <c r="Q6" s="118"/>
      <c r="R6" s="118"/>
      <c r="S6" s="118"/>
      <c r="T6" s="118"/>
      <c r="U6" s="118"/>
      <c r="V6" s="118"/>
      <c r="W6" s="118"/>
      <c r="X6" s="118"/>
    </row>
    <row r="7" spans="1:24" ht="27.75" customHeight="1">
      <c r="A7" s="155" t="s">
        <v>71</v>
      </c>
      <c r="B7" s="253" t="s">
        <v>105</v>
      </c>
      <c r="C7" s="253"/>
      <c r="D7" s="253"/>
      <c r="E7" s="253"/>
      <c r="F7" s="253"/>
      <c r="G7" s="253"/>
      <c r="H7" s="253"/>
      <c r="I7" s="118"/>
      <c r="J7" s="118"/>
      <c r="K7" s="118"/>
      <c r="L7" s="118"/>
      <c r="M7" s="118"/>
      <c r="N7" s="118"/>
      <c r="O7" s="118"/>
      <c r="P7" s="118"/>
      <c r="Q7" s="118"/>
      <c r="R7" s="118"/>
      <c r="S7" s="118"/>
      <c r="T7" s="118"/>
      <c r="U7" s="118"/>
      <c r="V7" s="118"/>
      <c r="W7" s="118"/>
      <c r="X7" s="118"/>
    </row>
    <row r="8" spans="1:24" ht="27" customHeight="1">
      <c r="A8" s="152" t="s">
        <v>72</v>
      </c>
      <c r="B8" s="254" t="s">
        <v>73</v>
      </c>
      <c r="C8" s="254"/>
      <c r="D8" s="254"/>
      <c r="E8" s="254"/>
      <c r="F8" s="254"/>
      <c r="G8" s="254"/>
      <c r="H8" s="254"/>
      <c r="I8" s="254"/>
      <c r="J8" s="254"/>
      <c r="K8" s="254"/>
      <c r="L8" s="254"/>
      <c r="M8" s="254"/>
      <c r="N8" s="254"/>
      <c r="O8" s="156"/>
      <c r="P8" s="156"/>
      <c r="Q8" s="156"/>
      <c r="R8" s="118"/>
      <c r="S8" s="118"/>
      <c r="T8" s="118"/>
      <c r="U8" s="118"/>
      <c r="V8" s="118"/>
      <c r="W8" s="118"/>
      <c r="X8" s="118"/>
    </row>
    <row r="9" spans="1:24" ht="20.25" customHeight="1">
      <c r="A9" s="157" t="s">
        <v>74</v>
      </c>
      <c r="B9" s="118"/>
      <c r="C9" s="118"/>
      <c r="D9" s="118"/>
      <c r="E9" s="118"/>
      <c r="F9" s="118"/>
      <c r="G9" s="118"/>
      <c r="H9" s="118"/>
      <c r="I9" s="118"/>
      <c r="J9" s="118"/>
      <c r="K9" s="158"/>
      <c r="L9" s="118"/>
      <c r="M9" s="118"/>
      <c r="N9" s="118"/>
      <c r="O9" s="118"/>
      <c r="P9" s="118"/>
      <c r="Q9" s="118"/>
      <c r="R9" s="118"/>
      <c r="S9" s="118"/>
      <c r="T9" s="118"/>
      <c r="U9" s="118"/>
      <c r="V9" s="118"/>
      <c r="W9" s="118"/>
      <c r="X9" s="118"/>
    </row>
    <row r="10" spans="1:24" ht="24.75" customHeight="1">
      <c r="A10" s="255" t="s">
        <v>75</v>
      </c>
      <c r="B10" s="256" t="s">
        <v>76</v>
      </c>
      <c r="C10" s="256"/>
      <c r="D10" s="118"/>
      <c r="E10" s="118"/>
      <c r="F10" s="118"/>
      <c r="G10" s="118"/>
      <c r="H10" s="118"/>
      <c r="I10" s="118"/>
      <c r="J10" s="118"/>
      <c r="K10" s="118"/>
      <c r="L10" s="118"/>
      <c r="M10" s="118"/>
      <c r="N10" s="118"/>
      <c r="O10" s="118"/>
      <c r="P10" s="118"/>
      <c r="Q10" s="118"/>
      <c r="R10" s="118"/>
      <c r="S10" s="118"/>
      <c r="T10" s="118"/>
      <c r="U10" s="118"/>
      <c r="V10" s="118"/>
      <c r="W10" s="118"/>
      <c r="X10" s="118"/>
    </row>
    <row r="11" spans="1:24" ht="12">
      <c r="A11" s="255"/>
      <c r="B11" s="256"/>
      <c r="C11" s="256"/>
      <c r="D11" s="118"/>
      <c r="E11" s="118"/>
      <c r="F11" s="118"/>
      <c r="G11" s="118"/>
      <c r="H11" s="118"/>
      <c r="I11" s="118"/>
      <c r="J11" s="118"/>
      <c r="K11" s="118"/>
      <c r="L11" s="118"/>
      <c r="M11" s="118"/>
      <c r="N11" s="118"/>
      <c r="O11" s="118"/>
      <c r="P11" s="118"/>
      <c r="Q11" s="118"/>
      <c r="R11" s="118"/>
      <c r="S11" s="118"/>
      <c r="T11" s="118"/>
      <c r="U11" s="118"/>
      <c r="V11" s="118"/>
      <c r="W11" s="118"/>
      <c r="X11" s="118"/>
    </row>
    <row r="12" spans="1:24" ht="34.5" customHeight="1">
      <c r="A12" s="255"/>
      <c r="B12" s="256"/>
      <c r="C12" s="256"/>
      <c r="D12" s="118"/>
      <c r="E12" s="118"/>
      <c r="F12" s="118"/>
      <c r="G12" s="118"/>
      <c r="H12" s="118"/>
      <c r="I12" s="118"/>
      <c r="J12" s="118"/>
      <c r="K12" s="118"/>
      <c r="L12" s="118"/>
      <c r="M12" s="118"/>
      <c r="N12" s="118"/>
      <c r="O12" s="118"/>
      <c r="P12" s="118"/>
      <c r="Q12" s="118"/>
      <c r="R12" s="118"/>
      <c r="S12" s="118"/>
      <c r="T12" s="118"/>
      <c r="U12" s="118"/>
      <c r="V12" s="118"/>
      <c r="W12" s="118"/>
      <c r="X12" s="118"/>
    </row>
    <row r="13" spans="1:24" ht="12">
      <c r="A13" s="159" t="s">
        <v>77</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row>
    <row r="14" spans="1:24" ht="12">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row>
    <row r="15" spans="1:23" ht="12">
      <c r="A15" s="160" t="str">
        <f>à_lire!D$10&amp;" "&amp;à_lire!D$12&amp;" "&amp;à_lire!D$6&amp;" "&amp;B7&amp;" "&amp;à_lire!D$8&amp;" "&amp;à_lire!D$14&amp;" élève1"</f>
        <v>non Anglais Cannes 0060000G ALBERT CAMUS CM2A élève1</v>
      </c>
      <c r="B15" s="161" t="str">
        <f>saisie!B15</f>
        <v>A</v>
      </c>
      <c r="C15" s="161">
        <f>saisie!C15</f>
        <v>2</v>
      </c>
      <c r="D15" s="161" t="str">
        <f>saisie!D15</f>
        <v>A</v>
      </c>
      <c r="E15" s="161">
        <f>saisie!E15</f>
        <v>1</v>
      </c>
      <c r="F15" s="161" t="str">
        <f>saisie!F15</f>
        <v>A</v>
      </c>
      <c r="G15" s="161">
        <f>saisie!G15</f>
        <v>1</v>
      </c>
      <c r="H15" s="161" t="str">
        <f>saisie!H15</f>
        <v>A</v>
      </c>
      <c r="I15" s="161">
        <f>saisie!I15</f>
        <v>2</v>
      </c>
      <c r="J15" s="161">
        <f>saisie!J15</f>
        <v>2</v>
      </c>
      <c r="K15" s="161" t="str">
        <f>saisie!K15</f>
        <v>A</v>
      </c>
      <c r="L15" s="161">
        <f>saisie!L15</f>
        <v>2</v>
      </c>
      <c r="M15" s="161">
        <f>saisie!M15</f>
        <v>1</v>
      </c>
      <c r="N15" s="161">
        <f>saisie!N15</f>
        <v>1</v>
      </c>
      <c r="O15" s="161">
        <f>saisie!O15</f>
        <v>2</v>
      </c>
      <c r="P15" s="161">
        <f>saisie!P15</f>
        <v>1</v>
      </c>
      <c r="Q15" s="161">
        <f>saisie!Q15</f>
        <v>1</v>
      </c>
      <c r="R15" s="161">
        <f>saisie!R15</f>
        <v>1</v>
      </c>
      <c r="S15" s="161">
        <f>saisie!S15</f>
        <v>2</v>
      </c>
      <c r="T15" s="161">
        <f>saisie!T15</f>
        <v>2</v>
      </c>
      <c r="U15" s="161">
        <f>saisie!U15</f>
        <v>2</v>
      </c>
      <c r="V15" s="161">
        <f>saisie!V15</f>
        <v>1</v>
      </c>
      <c r="W15" s="161">
        <f>saisie!W15</f>
        <v>1</v>
      </c>
    </row>
    <row r="16" spans="1:23" ht="12">
      <c r="A16" s="162" t="str">
        <f>à_lire!D$10&amp;" "&amp;à_lire!D$12&amp;" "&amp;à_lire!D$6&amp;" "&amp;B7&amp;" "&amp;à_lire!D$8&amp;" "&amp;à_lire!D$14&amp;" élève2"</f>
        <v>non Anglais Cannes 0060000G ALBERT CAMUS CM2A élève2</v>
      </c>
      <c r="B16" s="161">
        <f>saisie!B16</f>
        <v>1</v>
      </c>
      <c r="C16" s="161">
        <f>saisie!C16</f>
        <v>1</v>
      </c>
      <c r="D16" s="161">
        <f>saisie!D16</f>
        <v>9</v>
      </c>
      <c r="E16" s="161">
        <f>saisie!E16</f>
        <v>9</v>
      </c>
      <c r="F16" s="161">
        <f>saisie!F16</f>
        <v>9</v>
      </c>
      <c r="G16" s="161">
        <f>saisie!G16</f>
        <v>9</v>
      </c>
      <c r="H16" s="161">
        <f>saisie!H16</f>
        <v>9</v>
      </c>
      <c r="I16" s="161">
        <f>saisie!I16</f>
        <v>9</v>
      </c>
      <c r="J16" s="161">
        <f>saisie!J16</f>
        <v>2</v>
      </c>
      <c r="K16" s="161">
        <f>saisie!K16</f>
        <v>1</v>
      </c>
      <c r="L16" s="161">
        <f>saisie!L16</f>
        <v>1</v>
      </c>
      <c r="M16" s="161">
        <f>saisie!M16</f>
        <v>1</v>
      </c>
      <c r="N16" s="161">
        <f>saisie!N16</f>
        <v>1</v>
      </c>
      <c r="O16" s="161">
        <f>saisie!O16</f>
        <v>0</v>
      </c>
      <c r="P16" s="161">
        <f>saisie!P16</f>
        <v>1</v>
      </c>
      <c r="Q16" s="161">
        <f>saisie!Q16</f>
        <v>1</v>
      </c>
      <c r="R16" s="161">
        <f>saisie!R16</f>
        <v>1</v>
      </c>
      <c r="S16" s="161">
        <f>saisie!S16</f>
        <v>2</v>
      </c>
      <c r="T16" s="161">
        <f>saisie!T16</f>
        <v>1</v>
      </c>
      <c r="U16" s="161">
        <f>saisie!U16</f>
        <v>9</v>
      </c>
      <c r="V16" s="161">
        <f>saisie!V16</f>
        <v>0</v>
      </c>
      <c r="W16" s="161">
        <f>saisie!W16</f>
        <v>9</v>
      </c>
    </row>
    <row r="17" spans="1:23" ht="12">
      <c r="A17" s="162" t="str">
        <f>à_lire!D$10&amp;" "&amp;à_lire!D$12&amp;" "&amp;à_lire!D$6&amp;" "&amp;B7&amp;" "&amp;à_lire!D$8&amp;" "&amp;à_lire!D$14&amp;" élève3"</f>
        <v>non Anglais Cannes 0060000G ALBERT CAMUS CM2A élève3</v>
      </c>
      <c r="B17" s="161">
        <f>saisie!B17</f>
        <v>1</v>
      </c>
      <c r="C17" s="161">
        <f>saisie!C17</f>
        <v>1</v>
      </c>
      <c r="D17" s="161">
        <f>saisie!D17</f>
        <v>1</v>
      </c>
      <c r="E17" s="161">
        <f>saisie!E17</f>
        <v>9</v>
      </c>
      <c r="F17" s="161">
        <f>saisie!F17</f>
        <v>9</v>
      </c>
      <c r="G17" s="161">
        <f>saisie!G17</f>
        <v>1</v>
      </c>
      <c r="H17" s="161">
        <f>saisie!H17</f>
        <v>1</v>
      </c>
      <c r="I17" s="161">
        <f>saisie!I17</f>
        <v>1</v>
      </c>
      <c r="J17" s="161">
        <f>saisie!J17</f>
        <v>1</v>
      </c>
      <c r="K17" s="161">
        <f>saisie!K17</f>
        <v>9</v>
      </c>
      <c r="L17" s="161">
        <f>saisie!L17</f>
        <v>9</v>
      </c>
      <c r="M17" s="161">
        <f>saisie!M17</f>
        <v>1</v>
      </c>
      <c r="N17" s="161">
        <f>saisie!N17</f>
        <v>1</v>
      </c>
      <c r="O17" s="161">
        <f>saisie!O17</f>
        <v>1</v>
      </c>
      <c r="P17" s="161">
        <f>saisie!P17</f>
        <v>1</v>
      </c>
      <c r="Q17" s="161">
        <f>saisie!Q17</f>
        <v>1</v>
      </c>
      <c r="R17" s="161">
        <f>saisie!R17</f>
        <v>1</v>
      </c>
      <c r="S17" s="161">
        <f>saisie!S17</f>
        <v>1</v>
      </c>
      <c r="T17" s="161">
        <f>saisie!T17</f>
        <v>1</v>
      </c>
      <c r="U17" s="161">
        <f>saisie!U17</f>
        <v>1</v>
      </c>
      <c r="V17" s="161">
        <f>saisie!V17</f>
        <v>1</v>
      </c>
      <c r="W17" s="161">
        <f>saisie!W17</f>
        <v>1</v>
      </c>
    </row>
    <row r="18" spans="1:23" ht="12">
      <c r="A18" s="162" t="str">
        <f>à_lire!D$10&amp;" "&amp;à_lire!D$12&amp;" "&amp;à_lire!D$6&amp;" "&amp;B7&amp;" "&amp;à_lire!D$8&amp;" "&amp;à_lire!D$14&amp;" élève4"</f>
        <v>non Anglais Cannes 0060000G ALBERT CAMUS CM2A élève4</v>
      </c>
      <c r="B18" s="161">
        <f>saisie!B18</f>
        <v>2</v>
      </c>
      <c r="C18" s="161">
        <f>saisie!C18</f>
        <v>1</v>
      </c>
      <c r="D18" s="161">
        <f>saisie!D18</f>
        <v>9</v>
      </c>
      <c r="E18" s="161">
        <f>saisie!E18</f>
        <v>9</v>
      </c>
      <c r="F18" s="161">
        <f>saisie!F18</f>
        <v>1</v>
      </c>
      <c r="G18" s="161">
        <f>saisie!G18</f>
        <v>1</v>
      </c>
      <c r="H18" s="161">
        <f>saisie!H18</f>
        <v>9</v>
      </c>
      <c r="I18" s="161">
        <f>saisie!I18</f>
        <v>9</v>
      </c>
      <c r="J18" s="161">
        <f>saisie!J18</f>
        <v>2</v>
      </c>
      <c r="K18" s="161">
        <f>saisie!K18</f>
        <v>1</v>
      </c>
      <c r="L18" s="161">
        <f>saisie!L18</f>
        <v>2</v>
      </c>
      <c r="M18" s="161">
        <f>saisie!M18</f>
        <v>1</v>
      </c>
      <c r="N18" s="161">
        <f>saisie!N18</f>
        <v>1</v>
      </c>
      <c r="O18" s="161">
        <f>saisie!O18</f>
        <v>0</v>
      </c>
      <c r="P18" s="161">
        <f>saisie!P18</f>
        <v>1</v>
      </c>
      <c r="Q18" s="161">
        <f>saisie!Q18</f>
        <v>2</v>
      </c>
      <c r="R18" s="161">
        <f>saisie!R18</f>
        <v>1</v>
      </c>
      <c r="S18" s="161">
        <f>saisie!S18</f>
        <v>9</v>
      </c>
      <c r="T18" s="161">
        <f>saisie!T18</f>
        <v>1</v>
      </c>
      <c r="U18" s="161">
        <f>saisie!U18</f>
        <v>9</v>
      </c>
      <c r="V18" s="161">
        <f>saisie!V18</f>
        <v>0</v>
      </c>
      <c r="W18" s="161">
        <f>saisie!W18</f>
        <v>0</v>
      </c>
    </row>
    <row r="19" spans="1:23" ht="12">
      <c r="A19" s="162" t="str">
        <f>à_lire!D$10&amp;" "&amp;à_lire!D$12&amp;" "&amp;à_lire!D$6&amp;" "&amp;B7&amp;" "&amp;à_lire!D$8&amp;" "&amp;à_lire!D$14&amp;" élève5"</f>
        <v>non Anglais Cannes 0060000G ALBERT CAMUS CM2A élève5</v>
      </c>
      <c r="B19" s="161">
        <f>saisie!B19</f>
        <v>1</v>
      </c>
      <c r="C19" s="161">
        <f>saisie!C19</f>
        <v>2</v>
      </c>
      <c r="D19" s="161">
        <f>saisie!D19</f>
        <v>1</v>
      </c>
      <c r="E19" s="161">
        <f>saisie!E19</f>
        <v>1</v>
      </c>
      <c r="F19" s="161">
        <f>saisie!F19</f>
        <v>1</v>
      </c>
      <c r="G19" s="161">
        <f>saisie!G19</f>
        <v>2</v>
      </c>
      <c r="H19" s="161">
        <f>saisie!H19</f>
        <v>1</v>
      </c>
      <c r="I19" s="161">
        <f>saisie!I19</f>
        <v>2</v>
      </c>
      <c r="J19" s="161">
        <f>saisie!J19</f>
        <v>2</v>
      </c>
      <c r="K19" s="161">
        <f>saisie!K19</f>
        <v>1</v>
      </c>
      <c r="L19" s="161">
        <f>saisie!L19</f>
        <v>2</v>
      </c>
      <c r="M19" s="161">
        <f>saisie!M19</f>
        <v>1</v>
      </c>
      <c r="N19" s="161">
        <f>saisie!N19</f>
        <v>1</v>
      </c>
      <c r="O19" s="161">
        <f>saisie!O19</f>
        <v>0</v>
      </c>
      <c r="P19" s="161">
        <f>saisie!P19</f>
        <v>1</v>
      </c>
      <c r="Q19" s="161">
        <f>saisie!Q19</f>
        <v>1</v>
      </c>
      <c r="R19" s="161">
        <f>saisie!R19</f>
        <v>2</v>
      </c>
      <c r="S19" s="161">
        <f>saisie!S19</f>
        <v>2</v>
      </c>
      <c r="T19" s="161">
        <f>saisie!T19</f>
        <v>1</v>
      </c>
      <c r="U19" s="161">
        <f>saisie!U19</f>
        <v>2</v>
      </c>
      <c r="V19" s="161">
        <f>saisie!V19</f>
        <v>2</v>
      </c>
      <c r="W19" s="161">
        <f>saisie!W19</f>
        <v>2</v>
      </c>
    </row>
    <row r="20" spans="1:23" ht="12">
      <c r="A20" s="162" t="str">
        <f>à_lire!D$10&amp;" "&amp;à_lire!D$12&amp;" "&amp;à_lire!D$6&amp;" "&amp;B7&amp;" "&amp;à_lire!D$8&amp;" "&amp;à_lire!D$14&amp;" élève6"</f>
        <v>non Anglais Cannes 0060000G ALBERT CAMUS CM2A élève6</v>
      </c>
      <c r="B20" s="161">
        <f>saisie!B20</f>
        <v>2</v>
      </c>
      <c r="C20" s="161">
        <f>saisie!C20</f>
        <v>2</v>
      </c>
      <c r="D20" s="161">
        <f>saisie!D20</f>
        <v>2</v>
      </c>
      <c r="E20" s="161">
        <f>saisie!E20</f>
        <v>2</v>
      </c>
      <c r="F20" s="161">
        <f>saisie!F20</f>
        <v>2</v>
      </c>
      <c r="G20" s="161">
        <f>saisie!G20</f>
        <v>1</v>
      </c>
      <c r="H20" s="161">
        <f>saisie!H20</f>
        <v>2</v>
      </c>
      <c r="I20" s="161">
        <f>saisie!I20</f>
        <v>9</v>
      </c>
      <c r="J20" s="161">
        <f>saisie!J20</f>
        <v>1</v>
      </c>
      <c r="K20" s="161">
        <f>saisie!K20</f>
        <v>1</v>
      </c>
      <c r="L20" s="161">
        <f>saisie!L20</f>
        <v>2</v>
      </c>
      <c r="M20" s="161">
        <f>saisie!M20</f>
        <v>1</v>
      </c>
      <c r="N20" s="161">
        <f>saisie!N20</f>
        <v>2</v>
      </c>
      <c r="O20" s="161">
        <f>saisie!O20</f>
        <v>0</v>
      </c>
      <c r="P20" s="161">
        <f>saisie!P20</f>
        <v>1</v>
      </c>
      <c r="Q20" s="161">
        <f>saisie!Q20</f>
        <v>2</v>
      </c>
      <c r="R20" s="161">
        <f>saisie!R20</f>
        <v>2</v>
      </c>
      <c r="S20" s="161">
        <f>saisie!S20</f>
        <v>2</v>
      </c>
      <c r="T20" s="161">
        <f>saisie!T20</f>
        <v>1</v>
      </c>
      <c r="U20" s="161">
        <f>saisie!U20</f>
        <v>2</v>
      </c>
      <c r="V20" s="161">
        <f>saisie!V20</f>
        <v>2</v>
      </c>
      <c r="W20" s="161">
        <f>saisie!W20</f>
        <v>2</v>
      </c>
    </row>
    <row r="21" spans="1:23" ht="12">
      <c r="A21" s="162" t="str">
        <f>à_lire!D$10&amp;" "&amp;à_lire!D$12&amp;" "&amp;à_lire!D$6&amp;" "&amp;B7&amp;" "&amp;à_lire!D$8&amp;" "&amp;à_lire!D$14&amp;" élève7"</f>
        <v>non Anglais Cannes 0060000G ALBERT CAMUS CM2A élève7</v>
      </c>
      <c r="B21" s="161">
        <f>saisie!B21</f>
        <v>2</v>
      </c>
      <c r="C21" s="161">
        <f>saisie!C21</f>
        <v>1</v>
      </c>
      <c r="D21" s="161">
        <f>saisie!D21</f>
        <v>1</v>
      </c>
      <c r="E21" s="161">
        <f>saisie!E21</f>
        <v>1</v>
      </c>
      <c r="F21" s="161">
        <f>saisie!F21</f>
        <v>1</v>
      </c>
      <c r="G21" s="161">
        <f>saisie!G21</f>
        <v>2</v>
      </c>
      <c r="H21" s="161">
        <f>saisie!H21</f>
        <v>9</v>
      </c>
      <c r="I21" s="161">
        <f>saisie!I21</f>
        <v>2</v>
      </c>
      <c r="J21" s="161">
        <f>saisie!J21</f>
        <v>9</v>
      </c>
      <c r="K21" s="161">
        <f>saisie!K21</f>
        <v>1</v>
      </c>
      <c r="L21" s="161">
        <f>saisie!L21</f>
        <v>2</v>
      </c>
      <c r="M21" s="161">
        <f>saisie!M21</f>
        <v>1</v>
      </c>
      <c r="N21" s="161">
        <f>saisie!N21</f>
        <v>9</v>
      </c>
      <c r="O21" s="161" t="str">
        <f>saisie!O21</f>
        <v>A</v>
      </c>
      <c r="P21" s="161">
        <f>saisie!P21</f>
        <v>1</v>
      </c>
      <c r="Q21" s="161">
        <f>saisie!Q21</f>
        <v>2</v>
      </c>
      <c r="R21" s="161">
        <f>saisie!R21</f>
        <v>9</v>
      </c>
      <c r="S21" s="161">
        <f>saisie!S21</f>
        <v>9</v>
      </c>
      <c r="T21" s="161">
        <f>saisie!T21</f>
        <v>9</v>
      </c>
      <c r="U21" s="161">
        <f>saisie!U21</f>
        <v>9</v>
      </c>
      <c r="V21" s="161" t="str">
        <f>saisie!V21</f>
        <v>A</v>
      </c>
      <c r="W21" s="161">
        <f>saisie!W21</f>
        <v>9</v>
      </c>
    </row>
    <row r="22" spans="1:23" ht="12">
      <c r="A22" s="162" t="str">
        <f>à_lire!D$10&amp;" "&amp;à_lire!D$12&amp;" "&amp;à_lire!D$6&amp;" "&amp;B7&amp;" "&amp;à_lire!D$8&amp;" "&amp;à_lire!D$14&amp;" élève8"</f>
        <v>non Anglais Cannes 0060000G ALBERT CAMUS CM2A élève8</v>
      </c>
      <c r="B22" s="161">
        <f>saisie!B22</f>
        <v>1</v>
      </c>
      <c r="C22" s="161">
        <f>saisie!C22</f>
        <v>1</v>
      </c>
      <c r="D22" s="161">
        <f>saisie!D22</f>
        <v>1</v>
      </c>
      <c r="E22" s="161">
        <f>saisie!E22</f>
        <v>2</v>
      </c>
      <c r="F22" s="161">
        <f>saisie!F22</f>
        <v>1</v>
      </c>
      <c r="G22" s="161">
        <f>saisie!G22</f>
        <v>2</v>
      </c>
      <c r="H22" s="161">
        <f>saisie!H22</f>
        <v>1</v>
      </c>
      <c r="I22" s="161">
        <f>saisie!I22</f>
        <v>1</v>
      </c>
      <c r="J22" s="161">
        <f>saisie!J22</f>
        <v>1</v>
      </c>
      <c r="K22" s="161">
        <f>saisie!K22</f>
        <v>2</v>
      </c>
      <c r="L22" s="161">
        <f>saisie!L22</f>
        <v>2</v>
      </c>
      <c r="M22" s="161">
        <f>saisie!M22</f>
        <v>1</v>
      </c>
      <c r="N22" s="161">
        <f>saisie!N22</f>
        <v>1</v>
      </c>
      <c r="O22" s="161">
        <f>saisie!O22</f>
        <v>2</v>
      </c>
      <c r="P22" s="161">
        <f>saisie!P22</f>
        <v>1</v>
      </c>
      <c r="Q22" s="161">
        <f>saisie!Q22</f>
        <v>1</v>
      </c>
      <c r="R22" s="161">
        <f>saisie!R22</f>
        <v>1</v>
      </c>
      <c r="S22" s="161">
        <f>saisie!S22</f>
        <v>1</v>
      </c>
      <c r="T22" s="161">
        <f>saisie!T22</f>
        <v>1</v>
      </c>
      <c r="U22" s="161">
        <f>saisie!U22</f>
        <v>2</v>
      </c>
      <c r="V22" s="161">
        <f>saisie!V22</f>
        <v>1</v>
      </c>
      <c r="W22" s="161">
        <f>saisie!W22</f>
        <v>1</v>
      </c>
    </row>
    <row r="23" spans="1:23" ht="12">
      <c r="A23" s="162" t="str">
        <f>à_lire!D$10&amp;" "&amp;à_lire!D$12&amp;" "&amp;à_lire!D$6&amp;" "&amp;B7&amp;" "&amp;à_lire!D$8&amp;" "&amp;à_lire!D$14&amp;" élève9"</f>
        <v>non Anglais Cannes 0060000G ALBERT CAMUS CM2A élève9</v>
      </c>
      <c r="B23" s="161">
        <f>saisie!B23</f>
        <v>1</v>
      </c>
      <c r="C23" s="161">
        <f>saisie!C23</f>
        <v>1</v>
      </c>
      <c r="D23" s="161">
        <f>saisie!D23</f>
        <v>1</v>
      </c>
      <c r="E23" s="161">
        <f>saisie!E23</f>
        <v>9</v>
      </c>
      <c r="F23" s="161">
        <f>saisie!F23</f>
        <v>1</v>
      </c>
      <c r="G23" s="161">
        <f>saisie!G23</f>
        <v>9</v>
      </c>
      <c r="H23" s="161">
        <f>saisie!H23</f>
        <v>1</v>
      </c>
      <c r="I23" s="161">
        <f>saisie!I23</f>
        <v>1</v>
      </c>
      <c r="J23" s="161">
        <f>saisie!J23</f>
        <v>1</v>
      </c>
      <c r="K23" s="161">
        <f>saisie!K23</f>
        <v>1</v>
      </c>
      <c r="L23" s="161">
        <f>saisie!L23</f>
        <v>1</v>
      </c>
      <c r="M23" s="161">
        <f>saisie!M23</f>
        <v>1</v>
      </c>
      <c r="N23" s="161">
        <f>saisie!N23</f>
        <v>9</v>
      </c>
      <c r="O23" s="161">
        <f>saisie!O23</f>
        <v>0</v>
      </c>
      <c r="P23" s="161">
        <f>saisie!P23</f>
        <v>1</v>
      </c>
      <c r="Q23" s="161">
        <f>saisie!Q23</f>
        <v>1</v>
      </c>
      <c r="R23" s="161">
        <f>saisie!R23</f>
        <v>9</v>
      </c>
      <c r="S23" s="161">
        <f>saisie!S23</f>
        <v>1</v>
      </c>
      <c r="T23" s="161">
        <f>saisie!T23</f>
        <v>1</v>
      </c>
      <c r="U23" s="161">
        <f>saisie!U23</f>
        <v>1</v>
      </c>
      <c r="V23" s="161">
        <f>saisie!V23</f>
        <v>1</v>
      </c>
      <c r="W23" s="161">
        <f>saisie!W23</f>
        <v>1</v>
      </c>
    </row>
    <row r="24" spans="1:23" ht="12">
      <c r="A24" s="162" t="str">
        <f>à_lire!D$10&amp;" "&amp;à_lire!D$12&amp;" "&amp;à_lire!D$6&amp;" "&amp;B7&amp;" "&amp;à_lire!D$8&amp;" "&amp;à_lire!D$14&amp;" élève10"</f>
        <v>non Anglais Cannes 0060000G ALBERT CAMUS CM2A élève10</v>
      </c>
      <c r="B24" s="161">
        <f>saisie!B24</f>
        <v>2</v>
      </c>
      <c r="C24" s="161">
        <f>saisie!C24</f>
        <v>2</v>
      </c>
      <c r="D24" s="161">
        <f>saisie!D24</f>
        <v>1</v>
      </c>
      <c r="E24" s="161">
        <f>saisie!E24</f>
        <v>1</v>
      </c>
      <c r="F24" s="161">
        <f>saisie!F24</f>
        <v>1</v>
      </c>
      <c r="G24" s="161">
        <f>saisie!G24</f>
        <v>1</v>
      </c>
      <c r="H24" s="161">
        <f>saisie!H24</f>
        <v>2</v>
      </c>
      <c r="I24" s="161">
        <f>saisie!I24</f>
        <v>9</v>
      </c>
      <c r="J24" s="161">
        <f>saisie!J24</f>
        <v>2</v>
      </c>
      <c r="K24" s="161">
        <f>saisie!K24</f>
        <v>2</v>
      </c>
      <c r="L24" s="161">
        <f>saisie!L24</f>
        <v>9</v>
      </c>
      <c r="M24" s="161">
        <f>saisie!M24</f>
        <v>9</v>
      </c>
      <c r="N24" s="161">
        <f>saisie!N24</f>
        <v>2</v>
      </c>
      <c r="O24" s="161">
        <f>saisie!O24</f>
        <v>1</v>
      </c>
      <c r="P24" s="161">
        <f>saisie!P24</f>
        <v>1</v>
      </c>
      <c r="Q24" s="161">
        <f>saisie!Q24</f>
        <v>1</v>
      </c>
      <c r="R24" s="161">
        <f>saisie!R24</f>
        <v>1</v>
      </c>
      <c r="S24" s="161">
        <f>saisie!S24</f>
        <v>2</v>
      </c>
      <c r="T24" s="161">
        <f>saisie!T24</f>
        <v>9</v>
      </c>
      <c r="U24" s="161">
        <f>saisie!U24</f>
        <v>2</v>
      </c>
      <c r="V24" s="161">
        <f>saisie!V24</f>
        <v>2</v>
      </c>
      <c r="W24" s="161">
        <f>saisie!W24</f>
        <v>2</v>
      </c>
    </row>
    <row r="25" spans="1:23" ht="12">
      <c r="A25" s="162" t="str">
        <f>à_lire!D$10&amp;" "&amp;à_lire!D$12&amp;" "&amp;à_lire!D$6&amp;" "&amp;B7&amp;" "&amp;à_lire!D$8&amp;" "&amp;à_lire!D$14&amp;" élève11"</f>
        <v>non Anglais Cannes 0060000G ALBERT CAMUS CM2A élève11</v>
      </c>
      <c r="B25" s="161">
        <f>saisie!B25</f>
        <v>2</v>
      </c>
      <c r="C25" s="161">
        <f>saisie!C25</f>
        <v>1</v>
      </c>
      <c r="D25" s="161">
        <f>saisie!D25</f>
        <v>1</v>
      </c>
      <c r="E25" s="161">
        <f>saisie!E25</f>
        <v>1</v>
      </c>
      <c r="F25" s="161">
        <f>saisie!F25</f>
        <v>1</v>
      </c>
      <c r="G25" s="161">
        <f>saisie!G25</f>
        <v>2</v>
      </c>
      <c r="H25" s="161">
        <f>saisie!H25</f>
        <v>9</v>
      </c>
      <c r="I25" s="161">
        <f>saisie!I25</f>
        <v>2</v>
      </c>
      <c r="J25" s="161">
        <f>saisie!J25</f>
        <v>9</v>
      </c>
      <c r="K25" s="161">
        <f>saisie!K25</f>
        <v>2</v>
      </c>
      <c r="L25" s="161">
        <f>saisie!L25</f>
        <v>1</v>
      </c>
      <c r="M25" s="161">
        <f>saisie!M25</f>
        <v>1</v>
      </c>
      <c r="N25" s="161">
        <f>saisie!N25</f>
        <v>2</v>
      </c>
      <c r="O25" s="161">
        <f>saisie!O25</f>
        <v>1</v>
      </c>
      <c r="P25" s="161">
        <f>saisie!P25</f>
        <v>1</v>
      </c>
      <c r="Q25" s="161">
        <f>saisie!Q25</f>
        <v>1</v>
      </c>
      <c r="R25" s="161">
        <f>saisie!R25</f>
        <v>1</v>
      </c>
      <c r="S25" s="161">
        <f>saisie!S25</f>
        <v>2</v>
      </c>
      <c r="T25" s="161">
        <f>saisie!T25</f>
        <v>9</v>
      </c>
      <c r="U25" s="161">
        <f>saisie!U25</f>
        <v>2</v>
      </c>
      <c r="V25" s="161">
        <f>saisie!V25</f>
        <v>9</v>
      </c>
      <c r="W25" s="161">
        <f>saisie!W25</f>
        <v>9</v>
      </c>
    </row>
    <row r="26" spans="1:23" ht="12">
      <c r="A26" s="162" t="str">
        <f>à_lire!D$10&amp;" "&amp;à_lire!D$12&amp;" "&amp;à_lire!D$6&amp;" "&amp;B7&amp;" "&amp;à_lire!D$8&amp;" "&amp;à_lire!D$14&amp;" élève12"</f>
        <v>non Anglais Cannes 0060000G ALBERT CAMUS CM2A élève12</v>
      </c>
      <c r="B26" s="161">
        <f>saisie!B26</f>
        <v>1</v>
      </c>
      <c r="C26" s="161">
        <f>saisie!C26</f>
        <v>1</v>
      </c>
      <c r="D26" s="161">
        <f>saisie!D26</f>
        <v>1</v>
      </c>
      <c r="E26" s="161">
        <f>saisie!E26</f>
        <v>2</v>
      </c>
      <c r="F26" s="161">
        <f>saisie!F26</f>
        <v>1</v>
      </c>
      <c r="G26" s="161">
        <f>saisie!G26</f>
        <v>1</v>
      </c>
      <c r="H26" s="161">
        <f>saisie!H26</f>
        <v>1</v>
      </c>
      <c r="I26" s="161">
        <f>saisie!I26</f>
        <v>2</v>
      </c>
      <c r="J26" s="161">
        <f>saisie!J26</f>
        <v>1</v>
      </c>
      <c r="K26" s="161">
        <f>saisie!K26</f>
        <v>1</v>
      </c>
      <c r="L26" s="161">
        <f>saisie!L26</f>
        <v>1</v>
      </c>
      <c r="M26" s="161">
        <f>saisie!M26</f>
        <v>1</v>
      </c>
      <c r="N26" s="161">
        <f>saisie!N26</f>
        <v>1</v>
      </c>
      <c r="O26" s="161">
        <f>saisie!O26</f>
        <v>1</v>
      </c>
      <c r="P26" s="161">
        <f>saisie!P26</f>
        <v>1</v>
      </c>
      <c r="Q26" s="161">
        <f>saisie!Q26</f>
        <v>2</v>
      </c>
      <c r="R26" s="161">
        <f>saisie!R26</f>
        <v>1</v>
      </c>
      <c r="S26" s="161">
        <f>saisie!S26</f>
        <v>2</v>
      </c>
      <c r="T26" s="161">
        <f>saisie!T26</f>
        <v>1</v>
      </c>
      <c r="U26" s="161">
        <f>saisie!U26</f>
        <v>1</v>
      </c>
      <c r="V26" s="161">
        <f>saisie!V26</f>
        <v>1</v>
      </c>
      <c r="W26" s="161">
        <f>saisie!W26</f>
        <v>1</v>
      </c>
    </row>
    <row r="27" spans="1:23" ht="12">
      <c r="A27" s="162" t="str">
        <f>à_lire!D$10&amp;" "&amp;à_lire!D$12&amp;" "&amp;à_lire!D$6&amp;" "&amp;B7&amp;" "&amp;à_lire!D$8&amp;" "&amp;à_lire!D$14&amp;" élève13"</f>
        <v>non Anglais Cannes 0060000G ALBERT CAMUS CM2A élève13</v>
      </c>
      <c r="B27" s="161">
        <f>saisie!B27</f>
        <v>1</v>
      </c>
      <c r="C27" s="161">
        <f>saisie!C27</f>
        <v>2</v>
      </c>
      <c r="D27" s="161">
        <f>saisie!D27</f>
        <v>1</v>
      </c>
      <c r="E27" s="161">
        <f>saisie!E27</f>
        <v>2</v>
      </c>
      <c r="F27" s="161">
        <f>saisie!F27</f>
        <v>1</v>
      </c>
      <c r="G27" s="161">
        <f>saisie!G27</f>
        <v>9</v>
      </c>
      <c r="H27" s="161">
        <f>saisie!H27</f>
        <v>1</v>
      </c>
      <c r="I27" s="161">
        <f>saisie!I27</f>
        <v>9</v>
      </c>
      <c r="J27" s="161">
        <f>saisie!J27</f>
        <v>1</v>
      </c>
      <c r="K27" s="161">
        <f>saisie!K27</f>
        <v>1</v>
      </c>
      <c r="L27" s="161">
        <f>saisie!L27</f>
        <v>2</v>
      </c>
      <c r="M27" s="161">
        <f>saisie!M27</f>
        <v>1</v>
      </c>
      <c r="N27" s="161">
        <f>saisie!N27</f>
        <v>1</v>
      </c>
      <c r="O27" s="161">
        <f>saisie!O27</f>
        <v>2</v>
      </c>
      <c r="P27" s="161">
        <f>saisie!P27</f>
        <v>1</v>
      </c>
      <c r="Q27" s="161">
        <f>saisie!Q27</f>
        <v>1</v>
      </c>
      <c r="R27" s="161">
        <f>saisie!R27</f>
        <v>2</v>
      </c>
      <c r="S27" s="161">
        <f>saisie!S27</f>
        <v>9</v>
      </c>
      <c r="T27" s="161">
        <f>saisie!T27</f>
        <v>1</v>
      </c>
      <c r="U27" s="161">
        <f>saisie!U27</f>
        <v>2</v>
      </c>
      <c r="V27" s="161">
        <f>saisie!V27</f>
        <v>2</v>
      </c>
      <c r="W27" s="161">
        <f>saisie!W27</f>
        <v>1</v>
      </c>
    </row>
    <row r="28" spans="1:23" ht="12">
      <c r="A28" s="162" t="str">
        <f>à_lire!D$10&amp;" "&amp;à_lire!D$12&amp;" "&amp;à_lire!D$6&amp;" "&amp;B7&amp;" "&amp;à_lire!D$8&amp;" "&amp;à_lire!D$14&amp;" élève14"</f>
        <v>non Anglais Cannes 0060000G ALBERT CAMUS CM2A élève14</v>
      </c>
      <c r="B28" s="161">
        <f>saisie!B28</f>
        <v>1</v>
      </c>
      <c r="C28" s="161">
        <f>saisie!C28</f>
        <v>1</v>
      </c>
      <c r="D28" s="161">
        <f>saisie!D28</f>
        <v>1</v>
      </c>
      <c r="E28" s="161">
        <f>saisie!E28</f>
        <v>1</v>
      </c>
      <c r="F28" s="161">
        <f>saisie!F28</f>
        <v>1</v>
      </c>
      <c r="G28" s="161">
        <f>saisie!G28</f>
        <v>1</v>
      </c>
      <c r="H28" s="161">
        <f>saisie!H28</f>
        <v>1</v>
      </c>
      <c r="I28" s="161">
        <f>saisie!I28</f>
        <v>2</v>
      </c>
      <c r="J28" s="161">
        <f>saisie!J28</f>
        <v>1</v>
      </c>
      <c r="K28" s="161">
        <f>saisie!K28</f>
        <v>1</v>
      </c>
      <c r="L28" s="161">
        <f>saisie!L28</f>
        <v>1</v>
      </c>
      <c r="M28" s="161">
        <f>saisie!M28</f>
        <v>1</v>
      </c>
      <c r="N28" s="161">
        <f>saisie!N28</f>
        <v>1</v>
      </c>
      <c r="O28" s="161">
        <f>saisie!O28</f>
        <v>1</v>
      </c>
      <c r="P28" s="161">
        <f>saisie!P28</f>
        <v>1</v>
      </c>
      <c r="Q28" s="161">
        <f>saisie!Q28</f>
        <v>1</v>
      </c>
      <c r="R28" s="161">
        <f>saisie!R28</f>
        <v>1</v>
      </c>
      <c r="S28" s="161">
        <f>saisie!S28</f>
        <v>2</v>
      </c>
      <c r="T28" s="161">
        <f>saisie!T28</f>
        <v>1</v>
      </c>
      <c r="U28" s="161">
        <f>saisie!U28</f>
        <v>1</v>
      </c>
      <c r="V28" s="161">
        <f>saisie!V28</f>
        <v>2</v>
      </c>
      <c r="W28" s="161">
        <f>saisie!W28</f>
        <v>1</v>
      </c>
    </row>
    <row r="29" spans="1:23" ht="12">
      <c r="A29" s="162" t="str">
        <f>à_lire!D$10&amp;" "&amp;à_lire!D$12&amp;" "&amp;à_lire!D$6&amp;" "&amp;B7&amp;" "&amp;à_lire!D$8&amp;" "&amp;à_lire!D$14&amp;" élève15"</f>
        <v>non Anglais Cannes 0060000G ALBERT CAMUS CM2A élève15</v>
      </c>
      <c r="B29" s="161">
        <f>saisie!B29</f>
        <v>2</v>
      </c>
      <c r="C29" s="161">
        <f>saisie!C29</f>
        <v>1</v>
      </c>
      <c r="D29" s="161">
        <f>saisie!D29</f>
        <v>2</v>
      </c>
      <c r="E29" s="161">
        <f>saisie!E29</f>
        <v>2</v>
      </c>
      <c r="F29" s="161">
        <f>saisie!F29</f>
        <v>1</v>
      </c>
      <c r="G29" s="161">
        <f>saisie!G29</f>
        <v>2</v>
      </c>
      <c r="H29" s="161">
        <f>saisie!H29</f>
        <v>1</v>
      </c>
      <c r="I29" s="161">
        <f>saisie!I29</f>
        <v>9</v>
      </c>
      <c r="J29" s="161">
        <f>saisie!J29</f>
        <v>1</v>
      </c>
      <c r="K29" s="161">
        <f>saisie!K29</f>
        <v>1</v>
      </c>
      <c r="L29" s="161">
        <f>saisie!L29</f>
        <v>2</v>
      </c>
      <c r="M29" s="161">
        <f>saisie!M29</f>
        <v>1</v>
      </c>
      <c r="N29" s="161">
        <f>saisie!N29</f>
        <v>1</v>
      </c>
      <c r="O29" s="161">
        <f>saisie!O29</f>
        <v>1</v>
      </c>
      <c r="P29" s="161">
        <f>saisie!P29</f>
        <v>1</v>
      </c>
      <c r="Q29" s="161">
        <f>saisie!Q29</f>
        <v>2</v>
      </c>
      <c r="R29" s="161">
        <f>saisie!R29</f>
        <v>2</v>
      </c>
      <c r="S29" s="161">
        <f>saisie!S29</f>
        <v>9</v>
      </c>
      <c r="T29" s="161">
        <f>saisie!T29</f>
        <v>1</v>
      </c>
      <c r="U29" s="161">
        <f>saisie!U29</f>
        <v>1</v>
      </c>
      <c r="V29" s="161">
        <f>saisie!V29</f>
        <v>0</v>
      </c>
      <c r="W29" s="161">
        <f>saisie!W29</f>
        <v>1</v>
      </c>
    </row>
    <row r="30" spans="1:23" ht="12">
      <c r="A30" s="162" t="str">
        <f>à_lire!D$10&amp;" "&amp;à_lire!D$12&amp;" "&amp;à_lire!D$6&amp;" "&amp;B7&amp;" "&amp;à_lire!D$8&amp;" "&amp;à_lire!D$14&amp;" élève16"</f>
        <v>non Anglais Cannes 0060000G ALBERT CAMUS CM2A élève16</v>
      </c>
      <c r="B30" s="161">
        <f>saisie!B30</f>
        <v>9</v>
      </c>
      <c r="C30" s="161">
        <f>saisie!C30</f>
        <v>9</v>
      </c>
      <c r="D30" s="161">
        <f>saisie!D30</f>
        <v>9</v>
      </c>
      <c r="E30" s="161">
        <f>saisie!E30</f>
        <v>2</v>
      </c>
      <c r="F30" s="161">
        <f>saisie!F30</f>
        <v>1</v>
      </c>
      <c r="G30" s="161">
        <f>saisie!G30</f>
        <v>1</v>
      </c>
      <c r="H30" s="161">
        <f>saisie!H30</f>
        <v>1</v>
      </c>
      <c r="I30" s="161">
        <f>saisie!I30</f>
        <v>1</v>
      </c>
      <c r="J30" s="161">
        <f>saisie!J30</f>
        <v>2</v>
      </c>
      <c r="K30" s="161">
        <f>saisie!K30</f>
        <v>9</v>
      </c>
      <c r="L30" s="161">
        <f>saisie!L30</f>
        <v>2</v>
      </c>
      <c r="M30" s="161">
        <f>saisie!M30</f>
        <v>9</v>
      </c>
      <c r="N30" s="161">
        <f>saisie!N30</f>
        <v>2</v>
      </c>
      <c r="O30" s="161">
        <f>saisie!O30</f>
        <v>1</v>
      </c>
      <c r="P30" s="161">
        <f>saisie!P30</f>
        <v>1</v>
      </c>
      <c r="Q30" s="161">
        <f>saisie!Q30</f>
        <v>1</v>
      </c>
      <c r="R30" s="161">
        <f>saisie!R30</f>
        <v>1</v>
      </c>
      <c r="S30" s="161">
        <f>saisie!S30</f>
        <v>2</v>
      </c>
      <c r="T30" s="161">
        <f>saisie!T30</f>
        <v>9</v>
      </c>
      <c r="U30" s="161">
        <f>saisie!U30</f>
        <v>2</v>
      </c>
      <c r="V30" s="161">
        <f>saisie!V30</f>
        <v>9</v>
      </c>
      <c r="W30" s="161">
        <f>saisie!W30</f>
        <v>9</v>
      </c>
    </row>
    <row r="31" spans="1:23" ht="12">
      <c r="A31" s="162" t="str">
        <f>à_lire!D$10&amp;" "&amp;à_lire!D$12&amp;" "&amp;à_lire!D$6&amp;" "&amp;B7&amp;" "&amp;à_lire!D$8&amp;" "&amp;à_lire!D$14&amp;" élève17"</f>
        <v>non Anglais Cannes 0060000G ALBERT CAMUS CM2A élève17</v>
      </c>
      <c r="B31" s="161">
        <f>saisie!B31</f>
        <v>1</v>
      </c>
      <c r="C31" s="161">
        <f>saisie!C31</f>
        <v>1</v>
      </c>
      <c r="D31" s="161">
        <f>saisie!D31</f>
        <v>1</v>
      </c>
      <c r="E31" s="161">
        <f>saisie!E31</f>
        <v>1</v>
      </c>
      <c r="F31" s="161">
        <f>saisie!F31</f>
        <v>1</v>
      </c>
      <c r="G31" s="161">
        <f>saisie!G31</f>
        <v>1</v>
      </c>
      <c r="H31" s="161">
        <f>saisie!H31</f>
        <v>1</v>
      </c>
      <c r="I31" s="161">
        <f>saisie!I31</f>
        <v>1</v>
      </c>
      <c r="J31" s="161">
        <f>saisie!J31</f>
        <v>1</v>
      </c>
      <c r="K31" s="161">
        <f>saisie!K31</f>
        <v>1</v>
      </c>
      <c r="L31" s="161">
        <f>saisie!L31</f>
        <v>1</v>
      </c>
      <c r="M31" s="161">
        <f>saisie!M31</f>
        <v>1</v>
      </c>
      <c r="N31" s="161">
        <f>saisie!N31</f>
        <v>1</v>
      </c>
      <c r="O31" s="161">
        <f>saisie!O31</f>
        <v>1</v>
      </c>
      <c r="P31" s="161">
        <f>saisie!P31</f>
        <v>1</v>
      </c>
      <c r="Q31" s="161">
        <f>saisie!Q31</f>
        <v>1</v>
      </c>
      <c r="R31" s="161">
        <f>saisie!R31</f>
        <v>1</v>
      </c>
      <c r="S31" s="161">
        <f>saisie!S31</f>
        <v>1</v>
      </c>
      <c r="T31" s="161">
        <f>saisie!T31</f>
        <v>1</v>
      </c>
      <c r="U31" s="161">
        <f>saisie!U31</f>
        <v>1</v>
      </c>
      <c r="V31" s="161">
        <f>saisie!V31</f>
        <v>1</v>
      </c>
      <c r="W31" s="161">
        <f>saisie!W31</f>
        <v>1</v>
      </c>
    </row>
    <row r="32" spans="1:23" ht="12">
      <c r="A32" s="162" t="str">
        <f>à_lire!D$10&amp;" "&amp;à_lire!D$12&amp;" "&amp;à_lire!D$6&amp;" "&amp;B7&amp;" "&amp;à_lire!D$8&amp;" "&amp;à_lire!D$14&amp;" élève18"</f>
        <v>non Anglais Cannes 0060000G ALBERT CAMUS CM2A élève18</v>
      </c>
      <c r="B32" s="161">
        <f>saisie!B32</f>
        <v>1</v>
      </c>
      <c r="C32" s="161">
        <f>saisie!C32</f>
        <v>2</v>
      </c>
      <c r="D32" s="161">
        <f>saisie!D32</f>
        <v>1</v>
      </c>
      <c r="E32" s="161">
        <f>saisie!E32</f>
        <v>1</v>
      </c>
      <c r="F32" s="161">
        <f>saisie!F32</f>
        <v>1</v>
      </c>
      <c r="G32" s="161">
        <f>saisie!G32</f>
        <v>1</v>
      </c>
      <c r="H32" s="161">
        <f>saisie!H32</f>
        <v>2</v>
      </c>
      <c r="I32" s="161">
        <f>saisie!I32</f>
        <v>9</v>
      </c>
      <c r="J32" s="161">
        <f>saisie!J32</f>
        <v>2</v>
      </c>
      <c r="K32" s="161">
        <f>saisie!K32</f>
        <v>1</v>
      </c>
      <c r="L32" s="161">
        <f>saisie!L32</f>
        <v>2</v>
      </c>
      <c r="M32" s="161">
        <f>saisie!M32</f>
        <v>1</v>
      </c>
      <c r="N32" s="161">
        <f>saisie!N32</f>
        <v>1</v>
      </c>
      <c r="O32" s="161">
        <f>saisie!O32</f>
        <v>0</v>
      </c>
      <c r="P32" s="161">
        <f>saisie!P32</f>
        <v>1</v>
      </c>
      <c r="Q32" s="161">
        <f>saisie!Q32</f>
        <v>1</v>
      </c>
      <c r="R32" s="161">
        <f>saisie!R32</f>
        <v>1</v>
      </c>
      <c r="S32" s="161">
        <f>saisie!S32</f>
        <v>9</v>
      </c>
      <c r="T32" s="161">
        <f>saisie!T32</f>
        <v>1</v>
      </c>
      <c r="U32" s="161">
        <f>saisie!U32</f>
        <v>2</v>
      </c>
      <c r="V32" s="161">
        <f>saisie!V32</f>
        <v>9</v>
      </c>
      <c r="W32" s="161">
        <f>saisie!W32</f>
        <v>9</v>
      </c>
    </row>
    <row r="33" spans="1:23" ht="12">
      <c r="A33" s="162" t="str">
        <f>à_lire!D$10&amp;" "&amp;à_lire!D$12&amp;" "&amp;à_lire!D$6&amp;" "&amp;B7&amp;" "&amp;à_lire!D$8&amp;" "&amp;à_lire!D$14&amp;" élève19"</f>
        <v>non Anglais Cannes 0060000G ALBERT CAMUS CM2A élève19</v>
      </c>
      <c r="B33" s="161">
        <f>saisie!B33</f>
        <v>1</v>
      </c>
      <c r="C33" s="161">
        <f>saisie!C33</f>
        <v>1</v>
      </c>
      <c r="D33" s="161">
        <f>saisie!D33</f>
        <v>9</v>
      </c>
      <c r="E33" s="161">
        <f>saisie!E33</f>
        <v>9</v>
      </c>
      <c r="F33" s="161">
        <f>saisie!F33</f>
        <v>9</v>
      </c>
      <c r="G33" s="161">
        <f>saisie!G33</f>
        <v>9</v>
      </c>
      <c r="H33" s="161">
        <f>saisie!H33</f>
        <v>9</v>
      </c>
      <c r="I33" s="161">
        <f>saisie!I33</f>
        <v>9</v>
      </c>
      <c r="J33" s="161">
        <f>saisie!J33</f>
        <v>2</v>
      </c>
      <c r="K33" s="161">
        <f>saisie!K33</f>
        <v>1</v>
      </c>
      <c r="L33" s="161">
        <f>saisie!L33</f>
        <v>1</v>
      </c>
      <c r="M33" s="161">
        <f>saisie!M33</f>
        <v>1</v>
      </c>
      <c r="N33" s="161">
        <f>saisie!N33</f>
        <v>1</v>
      </c>
      <c r="O33" s="161">
        <f>saisie!O33</f>
        <v>0</v>
      </c>
      <c r="P33" s="161">
        <f>saisie!P33</f>
        <v>1</v>
      </c>
      <c r="Q33" s="161">
        <f>saisie!Q33</f>
        <v>1</v>
      </c>
      <c r="R33" s="161">
        <f>saisie!R33</f>
        <v>1</v>
      </c>
      <c r="S33" s="161">
        <f>saisie!S33</f>
        <v>2</v>
      </c>
      <c r="T33" s="161">
        <f>saisie!T33</f>
        <v>1</v>
      </c>
      <c r="U33" s="161">
        <f>saisie!U33</f>
        <v>9</v>
      </c>
      <c r="V33" s="161">
        <f>saisie!V33</f>
        <v>0</v>
      </c>
      <c r="W33" s="161">
        <f>saisie!W33</f>
        <v>9</v>
      </c>
    </row>
    <row r="34" spans="1:23" ht="12">
      <c r="A34" s="162" t="str">
        <f>à_lire!D$10&amp;" "&amp;à_lire!D$12&amp;" "&amp;à_lire!D$6&amp;" "&amp;B7&amp;" "&amp;à_lire!D$8&amp;" "&amp;à_lire!D$14&amp;" élève20"</f>
        <v>non Anglais Cannes 0060000G ALBERT CAMUS CM2A élève20</v>
      </c>
      <c r="B34" s="161">
        <f>saisie!B34</f>
        <v>1</v>
      </c>
      <c r="C34" s="161">
        <f>saisie!C34</f>
        <v>1</v>
      </c>
      <c r="D34" s="161">
        <f>saisie!D34</f>
        <v>2</v>
      </c>
      <c r="E34" s="161">
        <f>saisie!E34</f>
        <v>1</v>
      </c>
      <c r="F34" s="161">
        <f>saisie!F34</f>
        <v>1</v>
      </c>
      <c r="G34" s="161">
        <f>saisie!G34</f>
        <v>2</v>
      </c>
      <c r="H34" s="161">
        <f>saisie!H34</f>
        <v>1</v>
      </c>
      <c r="I34" s="161">
        <f>saisie!I34</f>
        <v>1</v>
      </c>
      <c r="J34" s="161">
        <f>saisie!J34</f>
        <v>1</v>
      </c>
      <c r="K34" s="161">
        <f>saisie!K34</f>
        <v>1</v>
      </c>
      <c r="L34" s="161">
        <f>saisie!L34</f>
        <v>1</v>
      </c>
      <c r="M34" s="161">
        <f>saisie!M34</f>
        <v>1</v>
      </c>
      <c r="N34" s="161">
        <f>saisie!N34</f>
        <v>1</v>
      </c>
      <c r="O34" s="161">
        <f>saisie!O34</f>
        <v>2</v>
      </c>
      <c r="P34" s="161">
        <f>saisie!P34</f>
        <v>1</v>
      </c>
      <c r="Q34" s="161">
        <f>saisie!Q34</f>
        <v>1</v>
      </c>
      <c r="R34" s="161">
        <f>saisie!R34</f>
        <v>1</v>
      </c>
      <c r="S34" s="161">
        <f>saisie!S34</f>
        <v>2</v>
      </c>
      <c r="T34" s="161">
        <f>saisie!T34</f>
        <v>2</v>
      </c>
      <c r="U34" s="161">
        <f>saisie!U34</f>
        <v>1</v>
      </c>
      <c r="V34" s="161">
        <f>saisie!V34</f>
        <v>2</v>
      </c>
      <c r="W34" s="161">
        <f>saisie!W34</f>
        <v>1</v>
      </c>
    </row>
    <row r="35" spans="1:23" ht="12">
      <c r="A35" s="162" t="str">
        <f>à_lire!D$10&amp;" "&amp;à_lire!D$12&amp;" "&amp;à_lire!D$6&amp;" "&amp;B7&amp;" "&amp;à_lire!D$8&amp;" "&amp;à_lire!D$14&amp;" élève21"</f>
        <v>non Anglais Cannes 0060000G ALBERT CAMUS CM2A élève21</v>
      </c>
      <c r="B35" s="161">
        <f>saisie!B35</f>
        <v>1</v>
      </c>
      <c r="C35" s="161">
        <f>saisie!C35</f>
        <v>1</v>
      </c>
      <c r="D35" s="161">
        <f>saisie!D35</f>
        <v>1</v>
      </c>
      <c r="E35" s="161">
        <f>saisie!E35</f>
        <v>1</v>
      </c>
      <c r="F35" s="161">
        <f>saisie!F35</f>
        <v>9</v>
      </c>
      <c r="G35" s="161">
        <f>saisie!G35</f>
        <v>9</v>
      </c>
      <c r="H35" s="161">
        <f>saisie!H35</f>
        <v>1</v>
      </c>
      <c r="I35" s="161">
        <f>saisie!I35</f>
        <v>1</v>
      </c>
      <c r="J35" s="161">
        <f>saisie!J35</f>
        <v>1</v>
      </c>
      <c r="K35" s="161">
        <f>saisie!K35</f>
        <v>1</v>
      </c>
      <c r="L35" s="161">
        <f>saisie!L35</f>
        <v>1</v>
      </c>
      <c r="M35" s="161">
        <f>saisie!M35</f>
        <v>1</v>
      </c>
      <c r="N35" s="161">
        <f>saisie!N35</f>
        <v>1</v>
      </c>
      <c r="O35" s="161">
        <f>saisie!O35</f>
        <v>1</v>
      </c>
      <c r="P35" s="161">
        <f>saisie!P35</f>
        <v>1</v>
      </c>
      <c r="Q35" s="161">
        <f>saisie!Q35</f>
        <v>1</v>
      </c>
      <c r="R35" s="161">
        <f>saisie!R35</f>
        <v>1</v>
      </c>
      <c r="S35" s="161">
        <f>saisie!S35</f>
        <v>1</v>
      </c>
      <c r="T35" s="161">
        <f>saisie!T35</f>
        <v>1</v>
      </c>
      <c r="U35" s="161">
        <f>saisie!U35</f>
        <v>1</v>
      </c>
      <c r="V35" s="161">
        <f>saisie!V35</f>
        <v>1</v>
      </c>
      <c r="W35" s="161">
        <f>saisie!W35</f>
        <v>1</v>
      </c>
    </row>
    <row r="36" spans="1:23" ht="12">
      <c r="A36" s="162" t="str">
        <f>à_lire!D$10&amp;" "&amp;à_lire!D$12&amp;" "&amp;à_lire!D$6&amp;" "&amp;B7&amp;" "&amp;à_lire!D$8&amp;" "&amp;à_lire!D$14&amp;" élève22"</f>
        <v>non Anglais Cannes 0060000G ALBERT CAMUS CM2A élève22</v>
      </c>
      <c r="B36" s="161">
        <f>saisie!B36</f>
        <v>1</v>
      </c>
      <c r="C36" s="161">
        <f>saisie!C36</f>
        <v>1</v>
      </c>
      <c r="D36" s="161">
        <f>saisie!D36</f>
        <v>1</v>
      </c>
      <c r="E36" s="161">
        <f>saisie!E36</f>
        <v>1</v>
      </c>
      <c r="F36" s="161">
        <f>saisie!F36</f>
        <v>1</v>
      </c>
      <c r="G36" s="161">
        <f>saisie!G36</f>
        <v>1</v>
      </c>
      <c r="H36" s="161">
        <f>saisie!H36</f>
        <v>1</v>
      </c>
      <c r="I36" s="161">
        <f>saisie!I36</f>
        <v>2</v>
      </c>
      <c r="J36" s="161">
        <f>saisie!J36</f>
        <v>1</v>
      </c>
      <c r="K36" s="161">
        <f>saisie!K36</f>
        <v>1</v>
      </c>
      <c r="L36" s="161">
        <f>saisie!L36</f>
        <v>2</v>
      </c>
      <c r="M36" s="161">
        <f>saisie!M36</f>
        <v>1</v>
      </c>
      <c r="N36" s="161">
        <f>saisie!N36</f>
        <v>2</v>
      </c>
      <c r="O36" s="161">
        <f>saisie!O36</f>
        <v>1</v>
      </c>
      <c r="P36" s="161">
        <f>saisie!P36</f>
        <v>2</v>
      </c>
      <c r="Q36" s="161">
        <f>saisie!Q36</f>
        <v>1</v>
      </c>
      <c r="R36" s="161">
        <f>saisie!R36</f>
        <v>2</v>
      </c>
      <c r="S36" s="161">
        <f>saisie!S36</f>
        <v>9</v>
      </c>
      <c r="T36" s="161">
        <f>saisie!T36</f>
        <v>2</v>
      </c>
      <c r="U36" s="161">
        <f>saisie!U36</f>
        <v>2</v>
      </c>
      <c r="V36" s="161">
        <f>saisie!V36</f>
        <v>9</v>
      </c>
      <c r="W36" s="161">
        <f>saisie!W36</f>
        <v>1</v>
      </c>
    </row>
    <row r="37" spans="1:23" ht="12">
      <c r="A37" s="162" t="str">
        <f>à_lire!D$10&amp;" "&amp;à_lire!D$12&amp;" "&amp;à_lire!D$6&amp;" "&amp;B7&amp;" "&amp;à_lire!D$8&amp;" "&amp;à_lire!D$14&amp;" élève23"</f>
        <v>non Anglais Cannes 0060000G ALBERT CAMUS CM2A élève23</v>
      </c>
      <c r="B37" s="161">
        <f>saisie!B37</f>
        <v>1</v>
      </c>
      <c r="C37" s="161">
        <f>saisie!C37</f>
        <v>1</v>
      </c>
      <c r="D37" s="161">
        <f>saisie!D37</f>
        <v>1</v>
      </c>
      <c r="E37" s="161">
        <f>saisie!E37</f>
        <v>2</v>
      </c>
      <c r="F37" s="161">
        <f>saisie!F37</f>
        <v>1</v>
      </c>
      <c r="G37" s="161">
        <f>saisie!G37</f>
        <v>1</v>
      </c>
      <c r="H37" s="161">
        <f>saisie!H37</f>
        <v>1</v>
      </c>
      <c r="I37" s="161">
        <f>saisie!I37</f>
        <v>9</v>
      </c>
      <c r="J37" s="161">
        <f>saisie!J37</f>
        <v>1</v>
      </c>
      <c r="K37" s="161">
        <f>saisie!K37</f>
        <v>1</v>
      </c>
      <c r="L37" s="161">
        <f>saisie!L37</f>
        <v>9</v>
      </c>
      <c r="M37" s="161">
        <f>saisie!M37</f>
        <v>1</v>
      </c>
      <c r="N37" s="161">
        <f>saisie!N37</f>
        <v>2</v>
      </c>
      <c r="O37" s="161">
        <f>saisie!O37</f>
        <v>9</v>
      </c>
      <c r="P37" s="161">
        <f>saisie!P37</f>
        <v>1</v>
      </c>
      <c r="Q37" s="161">
        <f>saisie!Q37</f>
        <v>1</v>
      </c>
      <c r="R37" s="161">
        <f>saisie!R37</f>
        <v>1</v>
      </c>
      <c r="S37" s="161">
        <f>saisie!S37</f>
        <v>9</v>
      </c>
      <c r="T37" s="161">
        <f>saisie!T37</f>
        <v>1</v>
      </c>
      <c r="U37" s="161">
        <f>saisie!U37</f>
        <v>9</v>
      </c>
      <c r="V37" s="161">
        <f>saisie!V37</f>
        <v>0</v>
      </c>
      <c r="W37" s="161">
        <f>saisie!W37</f>
        <v>2</v>
      </c>
    </row>
    <row r="38" spans="1:23" ht="12">
      <c r="A38" s="162" t="str">
        <f>à_lire!D$10&amp;" "&amp;à_lire!D$12&amp;" "&amp;à_lire!D$6&amp;" "&amp;B7&amp;" "&amp;à_lire!D$8&amp;" "&amp;à_lire!D$14&amp;" élève24"</f>
        <v>non Anglais Cannes 0060000G ALBERT CAMUS CM2A élève24</v>
      </c>
      <c r="B38" s="161" t="str">
        <f>saisie!B38</f>
        <v>A</v>
      </c>
      <c r="C38" s="161">
        <f>saisie!C38</f>
        <v>2</v>
      </c>
      <c r="D38" s="161">
        <f>saisie!D38</f>
        <v>1</v>
      </c>
      <c r="E38" s="161">
        <f>saisie!E38</f>
        <v>1</v>
      </c>
      <c r="F38" s="161">
        <f>saisie!F38</f>
        <v>1</v>
      </c>
      <c r="G38" s="161">
        <f>saisie!G38</f>
        <v>1</v>
      </c>
      <c r="H38" s="161">
        <f>saisie!H38</f>
        <v>2</v>
      </c>
      <c r="I38" s="161">
        <f>saisie!I38</f>
        <v>9</v>
      </c>
      <c r="J38" s="161">
        <f>saisie!J38</f>
        <v>2</v>
      </c>
      <c r="K38" s="161">
        <f>saisie!K38</f>
        <v>1</v>
      </c>
      <c r="L38" s="161">
        <f>saisie!L38</f>
        <v>2</v>
      </c>
      <c r="M38" s="161">
        <f>saisie!M38</f>
        <v>1</v>
      </c>
      <c r="N38" s="161">
        <f>saisie!N38</f>
        <v>1</v>
      </c>
      <c r="O38" s="161">
        <f>saisie!O38</f>
        <v>0</v>
      </c>
      <c r="P38" s="161">
        <f>saisie!P38</f>
        <v>1</v>
      </c>
      <c r="Q38" s="161">
        <f>saisie!Q38</f>
        <v>1</v>
      </c>
      <c r="R38" s="161">
        <f>saisie!R38</f>
        <v>1</v>
      </c>
      <c r="S38" s="161">
        <f>saisie!S38</f>
        <v>9</v>
      </c>
      <c r="T38" s="161">
        <f>saisie!T38</f>
        <v>1</v>
      </c>
      <c r="U38" s="161">
        <f>saisie!U38</f>
        <v>2</v>
      </c>
      <c r="V38" s="161">
        <f>saisie!V38</f>
        <v>9</v>
      </c>
      <c r="W38" s="161">
        <f>saisie!W38</f>
        <v>9</v>
      </c>
    </row>
    <row r="39" spans="1:23" ht="12">
      <c r="A39" s="162" t="str">
        <f>à_lire!D$10&amp;" "&amp;à_lire!D$12&amp;" "&amp;à_lire!D$6&amp;" "&amp;B7&amp;" "&amp;à_lire!D$8&amp;" "&amp;à_lire!D$14&amp;" élève25"</f>
        <v>non Anglais Cannes 0060000G ALBERT CAMUS CM2A élève25</v>
      </c>
      <c r="B39" s="161">
        <f>saisie!B39</f>
        <v>1</v>
      </c>
      <c r="C39" s="161">
        <f>saisie!C39</f>
        <v>1</v>
      </c>
      <c r="D39" s="161">
        <f>saisie!D39</f>
        <v>9</v>
      </c>
      <c r="E39" s="161">
        <f>saisie!E39</f>
        <v>9</v>
      </c>
      <c r="F39" s="161">
        <f>saisie!F39</f>
        <v>9</v>
      </c>
      <c r="G39" s="161">
        <f>saisie!G39</f>
        <v>9</v>
      </c>
      <c r="H39" s="161">
        <f>saisie!H39</f>
        <v>9</v>
      </c>
      <c r="I39" s="161">
        <f>saisie!I39</f>
        <v>9</v>
      </c>
      <c r="J39" s="161">
        <f>saisie!J39</f>
        <v>2</v>
      </c>
      <c r="K39" s="161">
        <f>saisie!K39</f>
        <v>1</v>
      </c>
      <c r="L39" s="161">
        <f>saisie!L39</f>
        <v>1</v>
      </c>
      <c r="M39" s="161">
        <f>saisie!M39</f>
        <v>1</v>
      </c>
      <c r="N39" s="161">
        <f>saisie!N39</f>
        <v>1</v>
      </c>
      <c r="O39" s="161">
        <f>saisie!O39</f>
        <v>0</v>
      </c>
      <c r="P39" s="161">
        <f>saisie!P39</f>
        <v>1</v>
      </c>
      <c r="Q39" s="161">
        <f>saisie!Q39</f>
        <v>1</v>
      </c>
      <c r="R39" s="161">
        <f>saisie!R39</f>
        <v>1</v>
      </c>
      <c r="S39" s="161">
        <f>saisie!S39</f>
        <v>2</v>
      </c>
      <c r="T39" s="161">
        <f>saisie!T39</f>
        <v>1</v>
      </c>
      <c r="U39" s="161">
        <f>saisie!U39</f>
        <v>9</v>
      </c>
      <c r="V39" s="161">
        <f>saisie!V39</f>
        <v>0</v>
      </c>
      <c r="W39" s="161">
        <f>saisie!W39</f>
        <v>9</v>
      </c>
    </row>
    <row r="40" spans="1:23" ht="12">
      <c r="A40" s="162" t="str">
        <f>à_lire!D$10&amp;" "&amp;à_lire!D$12&amp;" "&amp;à_lire!D$6&amp;" "&amp;B7&amp;" "&amp;à_lire!D$8&amp;" "&amp;à_lire!D$14&amp;" élève26"</f>
        <v>non Anglais Cannes 0060000G ALBERT CAMUS CM2A élève26</v>
      </c>
      <c r="B40" s="161">
        <f>saisie!B40</f>
        <v>1</v>
      </c>
      <c r="C40" s="161">
        <f>saisie!C40</f>
        <v>1</v>
      </c>
      <c r="D40" s="161">
        <f>saisie!D40</f>
        <v>1</v>
      </c>
      <c r="E40" s="161">
        <f>saisie!E40</f>
        <v>1</v>
      </c>
      <c r="F40" s="161">
        <f>saisie!F40</f>
        <v>1</v>
      </c>
      <c r="G40" s="161">
        <f>saisie!G40</f>
        <v>1</v>
      </c>
      <c r="H40" s="161">
        <f>saisie!H40</f>
        <v>1</v>
      </c>
      <c r="I40" s="161">
        <f>saisie!I40</f>
        <v>1</v>
      </c>
      <c r="J40" s="161">
        <f>saisie!J40</f>
        <v>1</v>
      </c>
      <c r="K40" s="161">
        <f>saisie!K40</f>
        <v>1</v>
      </c>
      <c r="L40" s="161">
        <f>saisie!L40</f>
        <v>1</v>
      </c>
      <c r="M40" s="161">
        <f>saisie!M40</f>
        <v>1</v>
      </c>
      <c r="N40" s="161">
        <f>saisie!N40</f>
        <v>1</v>
      </c>
      <c r="O40" s="161">
        <f>saisie!O40</f>
        <v>1</v>
      </c>
      <c r="P40" s="161">
        <f>saisie!P40</f>
        <v>1</v>
      </c>
      <c r="Q40" s="161">
        <f>saisie!Q40</f>
        <v>1</v>
      </c>
      <c r="R40" s="161">
        <f>saisie!R40</f>
        <v>1</v>
      </c>
      <c r="S40" s="161">
        <f>saisie!S40</f>
        <v>1</v>
      </c>
      <c r="T40" s="161">
        <f>saisie!T40</f>
        <v>1</v>
      </c>
      <c r="U40" s="161">
        <f>saisie!U40</f>
        <v>1</v>
      </c>
      <c r="V40" s="161">
        <f>saisie!V40</f>
        <v>1</v>
      </c>
      <c r="W40" s="161">
        <f>saisie!W40</f>
        <v>1</v>
      </c>
    </row>
    <row r="41" spans="1:23" ht="12">
      <c r="A41" s="162" t="str">
        <f>à_lire!D$10&amp;" "&amp;à_lire!D$12&amp;" "&amp;à_lire!D$6&amp;" "&amp;B7&amp;" "&amp;à_lire!D$8&amp;" "&amp;à_lire!D$14&amp;" élève27"</f>
        <v>non Anglais Cannes 0060000G ALBERT CAMUS CM2A élève27</v>
      </c>
      <c r="B41" s="161" t="str">
        <f>saisie!B41</f>
        <v>A</v>
      </c>
      <c r="C41" s="161" t="str">
        <f>saisie!C41</f>
        <v>A</v>
      </c>
      <c r="D41" s="161" t="str">
        <f>saisie!D41</f>
        <v>A</v>
      </c>
      <c r="E41" s="161" t="str">
        <f>saisie!E41</f>
        <v>A</v>
      </c>
      <c r="F41" s="161" t="str">
        <f>saisie!F41</f>
        <v>A</v>
      </c>
      <c r="G41" s="161" t="str">
        <f>saisie!G41</f>
        <v>A</v>
      </c>
      <c r="H41" s="161" t="str">
        <f>saisie!H41</f>
        <v>A</v>
      </c>
      <c r="I41" s="161" t="str">
        <f>saisie!I41</f>
        <v>A</v>
      </c>
      <c r="J41" s="161" t="str">
        <f>saisie!J41</f>
        <v>A</v>
      </c>
      <c r="K41" s="161" t="str">
        <f>saisie!K41</f>
        <v>A</v>
      </c>
      <c r="L41" s="161" t="str">
        <f>saisie!L41</f>
        <v>A</v>
      </c>
      <c r="M41" s="161" t="str">
        <f>saisie!M41</f>
        <v>A</v>
      </c>
      <c r="N41" s="161" t="str">
        <f>saisie!N41</f>
        <v>A</v>
      </c>
      <c r="O41" s="161" t="str">
        <f>saisie!O41</f>
        <v>A</v>
      </c>
      <c r="P41" s="161" t="str">
        <f>saisie!P41</f>
        <v>A</v>
      </c>
      <c r="Q41" s="161" t="str">
        <f>saisie!Q41</f>
        <v>A</v>
      </c>
      <c r="R41" s="161" t="str">
        <f>saisie!R41</f>
        <v>A</v>
      </c>
      <c r="S41" s="161" t="str">
        <f>saisie!S41</f>
        <v>A</v>
      </c>
      <c r="T41" s="161" t="str">
        <f>saisie!T41</f>
        <v>A</v>
      </c>
      <c r="U41" s="161" t="str">
        <f>saisie!U41</f>
        <v>A</v>
      </c>
      <c r="V41" s="161" t="str">
        <f>saisie!V41</f>
        <v>A</v>
      </c>
      <c r="W41" s="161" t="str">
        <f>saisie!W41</f>
        <v>A</v>
      </c>
    </row>
    <row r="42" spans="1:23" ht="12">
      <c r="A42" s="162" t="str">
        <f>à_lire!D$10&amp;" "&amp;à_lire!D$12&amp;" "&amp;à_lire!D$6&amp;" "&amp;B7&amp;" "&amp;à_lire!D$8&amp;" "&amp;à_lire!D$14&amp;" élève28"</f>
        <v>non Anglais Cannes 0060000G ALBERT CAMUS CM2A élève28</v>
      </c>
      <c r="B42" s="161">
        <f>saisie!B42</f>
        <v>0</v>
      </c>
      <c r="C42" s="161">
        <f>saisie!C42</f>
        <v>0</v>
      </c>
      <c r="D42" s="161">
        <f>saisie!D42</f>
        <v>0</v>
      </c>
      <c r="E42" s="161">
        <f>saisie!E42</f>
        <v>0</v>
      </c>
      <c r="F42" s="161">
        <f>saisie!F42</f>
        <v>0</v>
      </c>
      <c r="G42" s="161">
        <f>saisie!G42</f>
        <v>0</v>
      </c>
      <c r="H42" s="161">
        <f>saisie!H42</f>
        <v>0</v>
      </c>
      <c r="I42" s="161">
        <f>saisie!I42</f>
        <v>0</v>
      </c>
      <c r="J42" s="161">
        <f>saisie!J42</f>
        <v>0</v>
      </c>
      <c r="K42" s="161">
        <f>saisie!K42</f>
        <v>0</v>
      </c>
      <c r="L42" s="161">
        <f>saisie!L42</f>
        <v>0</v>
      </c>
      <c r="M42" s="161">
        <f>saisie!M42</f>
        <v>0</v>
      </c>
      <c r="N42" s="161">
        <f>saisie!N42</f>
        <v>0</v>
      </c>
      <c r="O42" s="161">
        <f>saisie!O42</f>
        <v>0</v>
      </c>
      <c r="P42" s="161">
        <f>saisie!P42</f>
        <v>0</v>
      </c>
      <c r="Q42" s="161">
        <f>saisie!Q42</f>
        <v>0</v>
      </c>
      <c r="R42" s="161">
        <f>saisie!R42</f>
        <v>0</v>
      </c>
      <c r="S42" s="161">
        <f>saisie!S42</f>
        <v>0</v>
      </c>
      <c r="T42" s="161">
        <f>saisie!T42</f>
        <v>0</v>
      </c>
      <c r="U42" s="161">
        <f>saisie!U42</f>
        <v>0</v>
      </c>
      <c r="V42" s="161">
        <f>saisie!V42</f>
        <v>0</v>
      </c>
      <c r="W42" s="161">
        <f>saisie!W42</f>
        <v>0</v>
      </c>
    </row>
    <row r="43" spans="1:23" ht="12">
      <c r="A43" s="162" t="str">
        <f>à_lire!D$10&amp;" "&amp;à_lire!D$12&amp;" "&amp;à_lire!D$6&amp;" "&amp;B7&amp;" "&amp;à_lire!D$8&amp;" "&amp;à_lire!D$14&amp;" élève29"</f>
        <v>non Anglais Cannes 0060000G ALBERT CAMUS CM2A élève29</v>
      </c>
      <c r="B43" s="161">
        <f>saisie!B43</f>
        <v>0</v>
      </c>
      <c r="C43" s="161">
        <f>saisie!C43</f>
        <v>0</v>
      </c>
      <c r="D43" s="161">
        <f>saisie!D43</f>
        <v>0</v>
      </c>
      <c r="E43" s="161">
        <f>saisie!E43</f>
        <v>0</v>
      </c>
      <c r="F43" s="161">
        <f>saisie!F43</f>
        <v>0</v>
      </c>
      <c r="G43" s="161">
        <f>saisie!G43</f>
        <v>0</v>
      </c>
      <c r="H43" s="161">
        <f>saisie!H43</f>
        <v>0</v>
      </c>
      <c r="I43" s="161">
        <f>saisie!I43</f>
        <v>0</v>
      </c>
      <c r="J43" s="161">
        <f>saisie!J43</f>
        <v>0</v>
      </c>
      <c r="K43" s="161">
        <f>saisie!K43</f>
        <v>0</v>
      </c>
      <c r="L43" s="161">
        <f>saisie!L43</f>
        <v>0</v>
      </c>
      <c r="M43" s="161">
        <f>saisie!M43</f>
        <v>0</v>
      </c>
      <c r="N43" s="161">
        <f>saisie!N43</f>
        <v>0</v>
      </c>
      <c r="O43" s="161">
        <f>saisie!O43</f>
        <v>0</v>
      </c>
      <c r="P43" s="161">
        <f>saisie!P43</f>
        <v>0</v>
      </c>
      <c r="Q43" s="161">
        <f>saisie!Q43</f>
        <v>0</v>
      </c>
      <c r="R43" s="161">
        <f>saisie!R43</f>
        <v>0</v>
      </c>
      <c r="S43" s="161">
        <f>saisie!S43</f>
        <v>0</v>
      </c>
      <c r="T43" s="161">
        <f>saisie!T43</f>
        <v>0</v>
      </c>
      <c r="U43" s="161">
        <f>saisie!U43</f>
        <v>0</v>
      </c>
      <c r="V43" s="161">
        <f>saisie!V43</f>
        <v>0</v>
      </c>
      <c r="W43" s="161">
        <f>saisie!W43</f>
        <v>0</v>
      </c>
    </row>
    <row r="44" spans="1:23" ht="12">
      <c r="A44" s="162" t="str">
        <f>à_lire!D$10&amp;" "&amp;à_lire!D$12&amp;" "&amp;à_lire!D$6&amp;" "&amp;B7&amp;" "&amp;à_lire!D$8&amp;" "&amp;à_lire!D$14&amp;" élève30"</f>
        <v>non Anglais Cannes 0060000G ALBERT CAMUS CM2A élève30</v>
      </c>
      <c r="B44" s="161">
        <f>saisie!B44</f>
        <v>0</v>
      </c>
      <c r="C44" s="161">
        <f>saisie!C44</f>
        <v>0</v>
      </c>
      <c r="D44" s="161">
        <f>saisie!D44</f>
        <v>0</v>
      </c>
      <c r="E44" s="161">
        <f>saisie!E44</f>
        <v>0</v>
      </c>
      <c r="F44" s="161">
        <f>saisie!F44</f>
        <v>0</v>
      </c>
      <c r="G44" s="161">
        <f>saisie!G44</f>
        <v>0</v>
      </c>
      <c r="H44" s="161">
        <f>saisie!H44</f>
        <v>0</v>
      </c>
      <c r="I44" s="161">
        <f>saisie!I44</f>
        <v>0</v>
      </c>
      <c r="J44" s="161">
        <f>saisie!J44</f>
        <v>0</v>
      </c>
      <c r="K44" s="161">
        <f>saisie!K44</f>
        <v>0</v>
      </c>
      <c r="L44" s="161">
        <f>saisie!L44</f>
        <v>0</v>
      </c>
      <c r="M44" s="161">
        <f>saisie!M44</f>
        <v>0</v>
      </c>
      <c r="N44" s="161">
        <f>saisie!N44</f>
        <v>0</v>
      </c>
      <c r="O44" s="161">
        <f>saisie!O44</f>
        <v>0</v>
      </c>
      <c r="P44" s="161">
        <f>saisie!P44</f>
        <v>0</v>
      </c>
      <c r="Q44" s="161">
        <f>saisie!Q44</f>
        <v>0</v>
      </c>
      <c r="R44" s="161">
        <f>saisie!R44</f>
        <v>0</v>
      </c>
      <c r="S44" s="161">
        <f>saisie!S44</f>
        <v>0</v>
      </c>
      <c r="T44" s="161">
        <f>saisie!T44</f>
        <v>0</v>
      </c>
      <c r="U44" s="161">
        <f>saisie!U44</f>
        <v>0</v>
      </c>
      <c r="V44" s="161">
        <f>saisie!V44</f>
        <v>0</v>
      </c>
      <c r="W44" s="161">
        <f>saisie!W44</f>
        <v>0</v>
      </c>
    </row>
    <row r="45" spans="1:23" ht="12">
      <c r="A45" s="162" t="str">
        <f>à_lire!D$10&amp;" "&amp;à_lire!D$12&amp;" "&amp;à_lire!D$6&amp;" "&amp;B7&amp;" "&amp;à_lire!D$8&amp;" "&amp;à_lire!D$14&amp;" élève31"</f>
        <v>non Anglais Cannes 0060000G ALBERT CAMUS CM2A élève31</v>
      </c>
      <c r="B45" s="161">
        <f>saisie!B45</f>
        <v>0</v>
      </c>
      <c r="C45" s="161">
        <f>saisie!C45</f>
        <v>0</v>
      </c>
      <c r="D45" s="161">
        <f>saisie!D45</f>
        <v>0</v>
      </c>
      <c r="E45" s="161">
        <f>saisie!E45</f>
        <v>0</v>
      </c>
      <c r="F45" s="161">
        <f>saisie!F45</f>
        <v>0</v>
      </c>
      <c r="G45" s="161">
        <f>saisie!G45</f>
        <v>0</v>
      </c>
      <c r="H45" s="161">
        <f>saisie!H45</f>
        <v>0</v>
      </c>
      <c r="I45" s="161">
        <f>saisie!I45</f>
        <v>0</v>
      </c>
      <c r="J45" s="161">
        <f>saisie!J45</f>
        <v>0</v>
      </c>
      <c r="K45" s="161">
        <f>saisie!K45</f>
        <v>0</v>
      </c>
      <c r="L45" s="161">
        <f>saisie!L45</f>
        <v>0</v>
      </c>
      <c r="M45" s="161">
        <f>saisie!M45</f>
        <v>0</v>
      </c>
      <c r="N45" s="161">
        <f>saisie!N45</f>
        <v>0</v>
      </c>
      <c r="O45" s="161">
        <f>saisie!O45</f>
        <v>0</v>
      </c>
      <c r="P45" s="161">
        <f>saisie!P45</f>
        <v>0</v>
      </c>
      <c r="Q45" s="161">
        <f>saisie!Q45</f>
        <v>0</v>
      </c>
      <c r="R45" s="161">
        <f>saisie!R45</f>
        <v>0</v>
      </c>
      <c r="S45" s="161">
        <f>saisie!S45</f>
        <v>0</v>
      </c>
      <c r="T45" s="161">
        <f>saisie!T45</f>
        <v>0</v>
      </c>
      <c r="U45" s="161">
        <f>saisie!U45</f>
        <v>0</v>
      </c>
      <c r="V45" s="161">
        <f>saisie!V45</f>
        <v>0</v>
      </c>
      <c r="W45" s="161">
        <f>saisie!W45</f>
        <v>0</v>
      </c>
    </row>
    <row r="46" spans="1:23" ht="12">
      <c r="A46" s="162" t="str">
        <f>à_lire!D$10&amp;" "&amp;à_lire!D$12&amp;" "&amp;à_lire!D$6&amp;" "&amp;B7&amp;" "&amp;à_lire!D$8&amp;" "&amp;à_lire!D$14&amp;" élève32"</f>
        <v>non Anglais Cannes 0060000G ALBERT CAMUS CM2A élève32</v>
      </c>
      <c r="B46" s="161">
        <f>saisie!B46</f>
        <v>0</v>
      </c>
      <c r="C46" s="161">
        <f>saisie!C46</f>
        <v>0</v>
      </c>
      <c r="D46" s="161">
        <f>saisie!D46</f>
        <v>0</v>
      </c>
      <c r="E46" s="161">
        <f>saisie!E46</f>
        <v>0</v>
      </c>
      <c r="F46" s="161">
        <f>saisie!F46</f>
        <v>0</v>
      </c>
      <c r="G46" s="161">
        <f>saisie!G46</f>
        <v>0</v>
      </c>
      <c r="H46" s="161">
        <f>saisie!H46</f>
        <v>0</v>
      </c>
      <c r="I46" s="161">
        <f>saisie!I46</f>
        <v>0</v>
      </c>
      <c r="J46" s="161">
        <f>saisie!J46</f>
        <v>0</v>
      </c>
      <c r="K46" s="161">
        <f>saisie!K46</f>
        <v>0</v>
      </c>
      <c r="L46" s="161">
        <f>saisie!L46</f>
        <v>0</v>
      </c>
      <c r="M46" s="161">
        <f>saisie!M46</f>
        <v>0</v>
      </c>
      <c r="N46" s="161">
        <f>saisie!N46</f>
        <v>0</v>
      </c>
      <c r="O46" s="161">
        <f>saisie!O46</f>
        <v>0</v>
      </c>
      <c r="P46" s="161">
        <f>saisie!P46</f>
        <v>0</v>
      </c>
      <c r="Q46" s="161">
        <f>saisie!Q46</f>
        <v>0</v>
      </c>
      <c r="R46" s="161">
        <f>saisie!R46</f>
        <v>0</v>
      </c>
      <c r="S46" s="161">
        <f>saisie!S46</f>
        <v>0</v>
      </c>
      <c r="T46" s="161">
        <f>saisie!T46</f>
        <v>0</v>
      </c>
      <c r="U46" s="161">
        <f>saisie!U46</f>
        <v>0</v>
      </c>
      <c r="V46" s="161">
        <f>saisie!V46</f>
        <v>0</v>
      </c>
      <c r="W46" s="161">
        <f>saisie!W46</f>
        <v>0</v>
      </c>
    </row>
  </sheetData>
  <sheetProtection/>
  <mergeCells count="7">
    <mergeCell ref="B4:G4"/>
    <mergeCell ref="H4:N4"/>
    <mergeCell ref="B5:X5"/>
    <mergeCell ref="B7:H7"/>
    <mergeCell ref="B8:N8"/>
    <mergeCell ref="A10:A12"/>
    <mergeCell ref="B10:C12"/>
  </mergeCells>
  <conditionalFormatting sqref="A13">
    <cfRule type="expression" priority="1" dxfId="0" stopIfTrue="1">
      <formula>ISNUMBER(SEARCH("choisissez",('Export anonymé'!A15)))</formula>
    </cfRule>
  </conditionalFormatting>
  <dataValidations count="1">
    <dataValidation allowBlank="1" showInputMessage="1" showErrorMessage="1" prompt="Remplissez les cellules en rouge de l'onglet &quot;à_lire&quot; avant de copier et d'envoyer vos données." sqref="A13">
      <formula1>0</formula1>
      <formula2>0</formula2>
    </dataValidation>
  </dataValidations>
  <hyperlinks>
    <hyperlink ref="H4" r:id="rId1" display="http://minilien.fr/a0mqvk"/>
    <hyperlink ref="B8" location="export" display="ici pour sélectionner automatiquement"/>
    <hyperlink ref="B10" r:id="rId2" display="ICI"/>
    <hyperlink ref="C10" r:id="rId3" display="http://minilien.fr/a0nnxo"/>
    <hyperlink ref="B11" r:id="rId4" display="http://minilien.fr/a0nnxo"/>
    <hyperlink ref="C11" r:id="rId5" display="http://minilien.fr/a0nnxo"/>
    <hyperlink ref="B12" r:id="rId6" display="http://minilien.fr/a0nnxo"/>
    <hyperlink ref="C12" r:id="rId7" display="http://minilien.fr/a0nnxo"/>
  </hyperlinks>
  <printOptions/>
  <pageMargins left="0.5902777777777778" right="0.5902777777777778" top="0.5902777777777778" bottom="0.5902777777777778"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Tristan Simonot</cp:lastModifiedBy>
  <cp:lastPrinted>2015-03-01T16:50:31Z</cp:lastPrinted>
  <dcterms:created xsi:type="dcterms:W3CDTF">2015-03-01T15:29:57Z</dcterms:created>
  <dcterms:modified xsi:type="dcterms:W3CDTF">2015-03-04T18:55:50Z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